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709051A-4DC1-4D8A-A686-C1711F8F80B7}" xr6:coauthVersionLast="47" xr6:coauthVersionMax="47" xr10:uidLastSave="{00000000-0000-0000-0000-000000000000}"/>
  <bookViews>
    <workbookView xWindow="-110" yWindow="-110" windowWidth="19420" windowHeight="10420" tabRatio="760" activeTab="5" xr2:uid="{00000000-000D-0000-FFFF-FFFF00000000}"/>
  </bookViews>
  <sheets>
    <sheet name="კრებსითი" sheetId="16" r:id="rId1"/>
    <sheet name="I სართული" sheetId="17" r:id="rId2"/>
    <sheet name="ცენტრ. კიბის უჯრედი" sheetId="10" r:id="rId3"/>
    <sheet name="III-IVსართული." sheetId="11" r:id="rId4"/>
    <sheet name="Vსართული" sheetId="14" r:id="rId5"/>
    <sheet name="საევ.კიბის უჯრედები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3" i="17" l="1"/>
  <c r="H493" i="17"/>
  <c r="F493" i="17"/>
  <c r="D492" i="17"/>
  <c r="F492" i="17" s="1"/>
  <c r="K492" i="17" s="1"/>
  <c r="D491" i="17"/>
  <c r="F491" i="17" s="1"/>
  <c r="K491" i="17" s="1"/>
  <c r="D490" i="17"/>
  <c r="F490" i="17" s="1"/>
  <c r="K490" i="17" s="1"/>
  <c r="D489" i="17"/>
  <c r="J489" i="17" s="1"/>
  <c r="D488" i="17"/>
  <c r="F488" i="17" s="1"/>
  <c r="J487" i="17"/>
  <c r="H487" i="17"/>
  <c r="D533" i="17"/>
  <c r="F533" i="17" s="1"/>
  <c r="K533" i="17" s="1"/>
  <c r="F532" i="17"/>
  <c r="K532" i="17" s="1"/>
  <c r="F531" i="17"/>
  <c r="K531" i="17" s="1"/>
  <c r="F454" i="17"/>
  <c r="K454" i="17" s="1"/>
  <c r="F175" i="17"/>
  <c r="K175" i="17" s="1"/>
  <c r="D124" i="17"/>
  <c r="F124" i="17" s="1"/>
  <c r="K124" i="17" s="1"/>
  <c r="F123" i="17"/>
  <c r="K123" i="17" s="1"/>
  <c r="F122" i="17"/>
  <c r="K122" i="17" s="1"/>
  <c r="F125" i="17"/>
  <c r="H125" i="17"/>
  <c r="J125" i="17"/>
  <c r="K125" i="17" l="1"/>
  <c r="J488" i="17"/>
  <c r="K488" i="17" s="1"/>
  <c r="K493" i="17"/>
  <c r="K487" i="17"/>
  <c r="F489" i="17"/>
  <c r="K489" i="17" s="1"/>
  <c r="F132" i="11" l="1"/>
  <c r="K132" i="11" s="1"/>
  <c r="F133" i="11"/>
  <c r="K133" i="11" s="1"/>
  <c r="D134" i="11"/>
  <c r="F134" i="11" s="1"/>
  <c r="K134" i="11" s="1"/>
  <c r="D133" i="11"/>
  <c r="D132" i="11"/>
  <c r="D131" i="11"/>
  <c r="F131" i="11" s="1"/>
  <c r="K131" i="11" s="1"/>
  <c r="F90" i="11"/>
  <c r="K90" i="11" s="1"/>
  <c r="F91" i="11"/>
  <c r="K91" i="11" s="1"/>
  <c r="D30" i="11"/>
  <c r="D29" i="11"/>
  <c r="D28" i="11"/>
  <c r="D27" i="11"/>
  <c r="D89" i="11"/>
  <c r="F89" i="11" s="1"/>
  <c r="K89" i="11" s="1"/>
  <c r="D92" i="11"/>
  <c r="F92" i="11" s="1"/>
  <c r="K92" i="11" s="1"/>
  <c r="D91" i="11"/>
  <c r="D90" i="11"/>
  <c r="F549" i="17"/>
  <c r="K549" i="17" s="1"/>
  <c r="J548" i="17"/>
  <c r="H548" i="17"/>
  <c r="F548" i="17"/>
  <c r="J547" i="17"/>
  <c r="H547" i="17"/>
  <c r="F547" i="17"/>
  <c r="J546" i="17"/>
  <c r="H546" i="17"/>
  <c r="F546" i="17"/>
  <c r="J545" i="17"/>
  <c r="H545" i="17"/>
  <c r="F545" i="17"/>
  <c r="J544" i="17"/>
  <c r="H544" i="17"/>
  <c r="F544" i="17"/>
  <c r="J543" i="17"/>
  <c r="H543" i="17"/>
  <c r="F543" i="17"/>
  <c r="F542" i="17"/>
  <c r="K542" i="17" s="1"/>
  <c r="J541" i="17"/>
  <c r="K541" i="17" s="1"/>
  <c r="H541" i="17"/>
  <c r="F539" i="17"/>
  <c r="K539" i="17" s="1"/>
  <c r="F538" i="17"/>
  <c r="K538" i="17" s="1"/>
  <c r="H537" i="17"/>
  <c r="F537" i="17"/>
  <c r="J536" i="17"/>
  <c r="H536" i="17"/>
  <c r="F536" i="17"/>
  <c r="H535" i="17"/>
  <c r="F535" i="17"/>
  <c r="J534" i="17"/>
  <c r="H534" i="17"/>
  <c r="F534" i="17"/>
  <c r="J530" i="17"/>
  <c r="H530" i="17"/>
  <c r="F530" i="17"/>
  <c r="J529" i="17"/>
  <c r="H529" i="17"/>
  <c r="F529" i="17"/>
  <c r="H528" i="17"/>
  <c r="F528" i="17"/>
  <c r="J527" i="17"/>
  <c r="H527" i="17"/>
  <c r="F527" i="17"/>
  <c r="J526" i="17"/>
  <c r="H526" i="17"/>
  <c r="F526" i="17"/>
  <c r="J525" i="17"/>
  <c r="H525" i="17"/>
  <c r="F525" i="17"/>
  <c r="D523" i="17"/>
  <c r="F523" i="17" s="1"/>
  <c r="K523" i="17" s="1"/>
  <c r="F522" i="17"/>
  <c r="K522" i="17" s="1"/>
  <c r="D522" i="17"/>
  <c r="F521" i="17"/>
  <c r="K521" i="17" s="1"/>
  <c r="D520" i="17"/>
  <c r="F520" i="17" s="1"/>
  <c r="K520" i="17" s="1"/>
  <c r="D519" i="17"/>
  <c r="F519" i="17" s="1"/>
  <c r="K519" i="17" s="1"/>
  <c r="D518" i="17"/>
  <c r="F518" i="17" s="1"/>
  <c r="K518" i="17" s="1"/>
  <c r="F517" i="17"/>
  <c r="K517" i="17" s="1"/>
  <c r="D517" i="17"/>
  <c r="D516" i="17"/>
  <c r="F516" i="17" s="1"/>
  <c r="K516" i="17" s="1"/>
  <c r="J515" i="17"/>
  <c r="H515" i="17"/>
  <c r="D514" i="17"/>
  <c r="F514" i="17" s="1"/>
  <c r="K514" i="17" s="1"/>
  <c r="F513" i="17"/>
  <c r="K513" i="17" s="1"/>
  <c r="D512" i="17"/>
  <c r="F512" i="17" s="1"/>
  <c r="K512" i="17" s="1"/>
  <c r="J511" i="17"/>
  <c r="H511" i="17"/>
  <c r="H510" i="17"/>
  <c r="D510" i="17"/>
  <c r="J510" i="17" s="1"/>
  <c r="D507" i="17"/>
  <c r="D506" i="17"/>
  <c r="F506" i="17" s="1"/>
  <c r="K506" i="17" s="1"/>
  <c r="H505" i="17"/>
  <c r="K505" i="17" s="1"/>
  <c r="D502" i="17"/>
  <c r="D503" i="17" s="1"/>
  <c r="F503" i="17" s="1"/>
  <c r="K503" i="17" s="1"/>
  <c r="D501" i="17"/>
  <c r="F501" i="17" s="1"/>
  <c r="K501" i="17" s="1"/>
  <c r="H500" i="17"/>
  <c r="K500" i="17" s="1"/>
  <c r="D499" i="17"/>
  <c r="F499" i="17" s="1"/>
  <c r="K499" i="17" s="1"/>
  <c r="D498" i="17"/>
  <c r="F498" i="17" s="1"/>
  <c r="K498" i="17" s="1"/>
  <c r="D497" i="17"/>
  <c r="F497" i="17" s="1"/>
  <c r="K497" i="17" s="1"/>
  <c r="D496" i="17"/>
  <c r="D495" i="17"/>
  <c r="J494" i="17"/>
  <c r="H494" i="17"/>
  <c r="D486" i="17"/>
  <c r="F486" i="17" s="1"/>
  <c r="K486" i="17" s="1"/>
  <c r="D485" i="17"/>
  <c r="F485" i="17" s="1"/>
  <c r="K485" i="17" s="1"/>
  <c r="F484" i="17"/>
  <c r="K484" i="17" s="1"/>
  <c r="D484" i="17"/>
  <c r="J483" i="17"/>
  <c r="H483" i="17"/>
  <c r="H482" i="17"/>
  <c r="K482" i="17" s="1"/>
  <c r="H481" i="17"/>
  <c r="K481" i="17" s="1"/>
  <c r="H480" i="17"/>
  <c r="K480" i="17" s="1"/>
  <c r="H479" i="17"/>
  <c r="K479" i="17" s="1"/>
  <c r="D478" i="17"/>
  <c r="H478" i="17" s="1"/>
  <c r="K478" i="17" s="1"/>
  <c r="H477" i="17"/>
  <c r="K477" i="17" s="1"/>
  <c r="H476" i="17"/>
  <c r="K476" i="17" s="1"/>
  <c r="H475" i="17"/>
  <c r="K475" i="17" s="1"/>
  <c r="H474" i="17"/>
  <c r="K474" i="17" s="1"/>
  <c r="H473" i="17"/>
  <c r="K473" i="17" s="1"/>
  <c r="H472" i="17"/>
  <c r="K472" i="17" s="1"/>
  <c r="H471" i="17"/>
  <c r="K471" i="17" s="1"/>
  <c r="F469" i="17"/>
  <c r="K469" i="17" s="1"/>
  <c r="J468" i="17"/>
  <c r="H468" i="17"/>
  <c r="F468" i="17"/>
  <c r="J467" i="17"/>
  <c r="H467" i="17"/>
  <c r="F467" i="17"/>
  <c r="J466" i="17"/>
  <c r="H466" i="17"/>
  <c r="F466" i="17"/>
  <c r="J465" i="17"/>
  <c r="H465" i="17"/>
  <c r="F465" i="17"/>
  <c r="F464" i="17"/>
  <c r="K464" i="17" s="1"/>
  <c r="J463" i="17"/>
  <c r="H463" i="17"/>
  <c r="J461" i="17"/>
  <c r="H461" i="17"/>
  <c r="F461" i="17"/>
  <c r="F460" i="17"/>
  <c r="K460" i="17" s="1"/>
  <c r="F459" i="17"/>
  <c r="K459" i="17" s="1"/>
  <c r="J458" i="17"/>
  <c r="H458" i="17"/>
  <c r="F458" i="17"/>
  <c r="H457" i="17"/>
  <c r="K457" i="17" s="1"/>
  <c r="F457" i="17"/>
  <c r="H456" i="17"/>
  <c r="F456" i="17"/>
  <c r="J455" i="17"/>
  <c r="H455" i="17"/>
  <c r="F455" i="17"/>
  <c r="J453" i="17"/>
  <c r="H453" i="17"/>
  <c r="F453" i="17"/>
  <c r="J452" i="17"/>
  <c r="H452" i="17"/>
  <c r="F452" i="17"/>
  <c r="F450" i="17"/>
  <c r="K450" i="17" s="1"/>
  <c r="D450" i="17"/>
  <c r="D449" i="17"/>
  <c r="F449" i="17" s="1"/>
  <c r="K449" i="17" s="1"/>
  <c r="D448" i="17"/>
  <c r="F448" i="17" s="1"/>
  <c r="K448" i="17" s="1"/>
  <c r="D447" i="17"/>
  <c r="D446" i="17"/>
  <c r="J446" i="17" s="1"/>
  <c r="J445" i="17"/>
  <c r="H445" i="17"/>
  <c r="K445" i="17" s="1"/>
  <c r="D444" i="17"/>
  <c r="F444" i="17" s="1"/>
  <c r="K444" i="17" s="1"/>
  <c r="F443" i="17"/>
  <c r="K443" i="17" s="1"/>
  <c r="D443" i="17"/>
  <c r="D442" i="17"/>
  <c r="F442" i="17" s="1"/>
  <c r="K442" i="17" s="1"/>
  <c r="J441" i="17"/>
  <c r="H441" i="17"/>
  <c r="F440" i="17"/>
  <c r="K440" i="17" s="1"/>
  <c r="D440" i="17"/>
  <c r="D439" i="17"/>
  <c r="F439" i="17" s="1"/>
  <c r="K439" i="17" s="1"/>
  <c r="F438" i="17"/>
  <c r="K438" i="17" s="1"/>
  <c r="D437" i="17"/>
  <c r="F437" i="17" s="1"/>
  <c r="K437" i="17" s="1"/>
  <c r="F436" i="17"/>
  <c r="K436" i="17" s="1"/>
  <c r="D436" i="17"/>
  <c r="D435" i="17"/>
  <c r="F435" i="17" s="1"/>
  <c r="K435" i="17" s="1"/>
  <c r="D434" i="17"/>
  <c r="F434" i="17" s="1"/>
  <c r="K434" i="17" s="1"/>
  <c r="F433" i="17"/>
  <c r="K433" i="17" s="1"/>
  <c r="D433" i="17"/>
  <c r="J432" i="17"/>
  <c r="H432" i="17"/>
  <c r="D431" i="17"/>
  <c r="F431" i="17" s="1"/>
  <c r="K431" i="17" s="1"/>
  <c r="D430" i="17"/>
  <c r="F430" i="17" s="1"/>
  <c r="K430" i="17" s="1"/>
  <c r="J429" i="17"/>
  <c r="K429" i="17" s="1"/>
  <c r="H429" i="17"/>
  <c r="D428" i="17"/>
  <c r="F428" i="17" s="1"/>
  <c r="K428" i="17" s="1"/>
  <c r="D427" i="17"/>
  <c r="F427" i="17" s="1"/>
  <c r="K427" i="17" s="1"/>
  <c r="J426" i="17"/>
  <c r="H426" i="17"/>
  <c r="H425" i="17"/>
  <c r="F425" i="17"/>
  <c r="D424" i="17"/>
  <c r="F424" i="17" s="1"/>
  <c r="K424" i="17" s="1"/>
  <c r="F423" i="17"/>
  <c r="K423" i="17" s="1"/>
  <c r="D422" i="17"/>
  <c r="F422" i="17" s="1"/>
  <c r="K422" i="17" s="1"/>
  <c r="J421" i="17"/>
  <c r="H421" i="17"/>
  <c r="K420" i="17"/>
  <c r="D420" i="17"/>
  <c r="F420" i="17" s="1"/>
  <c r="D419" i="17"/>
  <c r="F419" i="17" s="1"/>
  <c r="K419" i="17" s="1"/>
  <c r="D418" i="17"/>
  <c r="D417" i="17"/>
  <c r="F417" i="17" s="1"/>
  <c r="K417" i="17" s="1"/>
  <c r="D416" i="17"/>
  <c r="F416" i="17" s="1"/>
  <c r="K416" i="17" s="1"/>
  <c r="J415" i="17"/>
  <c r="H415" i="17"/>
  <c r="D414" i="17"/>
  <c r="F414" i="17" s="1"/>
  <c r="K414" i="17" s="1"/>
  <c r="H410" i="17"/>
  <c r="D410" i="17"/>
  <c r="D412" i="17" s="1"/>
  <c r="D413" i="17" s="1"/>
  <c r="F413" i="17" s="1"/>
  <c r="K413" i="17" s="1"/>
  <c r="D409" i="17"/>
  <c r="F409" i="17" s="1"/>
  <c r="K409" i="17" s="1"/>
  <c r="D408" i="17"/>
  <c r="F408" i="17" s="1"/>
  <c r="K408" i="17" s="1"/>
  <c r="D407" i="17"/>
  <c r="F407" i="17" s="1"/>
  <c r="K407" i="17" s="1"/>
  <c r="J406" i="17"/>
  <c r="H406" i="17"/>
  <c r="F405" i="17"/>
  <c r="K405" i="17" s="1"/>
  <c r="D405" i="17"/>
  <c r="D403" i="17"/>
  <c r="F403" i="17" s="1"/>
  <c r="K403" i="17" s="1"/>
  <c r="D402" i="17"/>
  <c r="F402" i="17" s="1"/>
  <c r="K402" i="17" s="1"/>
  <c r="J401" i="17"/>
  <c r="H401" i="17"/>
  <c r="D400" i="17"/>
  <c r="J400" i="17" s="1"/>
  <c r="K398" i="17"/>
  <c r="D398" i="17"/>
  <c r="F398" i="17" s="1"/>
  <c r="D397" i="17"/>
  <c r="F397" i="17" s="1"/>
  <c r="K397" i="17" s="1"/>
  <c r="D396" i="17"/>
  <c r="D399" i="17" s="1"/>
  <c r="F399" i="17" s="1"/>
  <c r="K399" i="17" s="1"/>
  <c r="H395" i="17"/>
  <c r="K395" i="17" s="1"/>
  <c r="K393" i="17"/>
  <c r="F392" i="17"/>
  <c r="K392" i="17" s="1"/>
  <c r="D392" i="17"/>
  <c r="F391" i="17"/>
  <c r="K391" i="17" s="1"/>
  <c r="D391" i="17"/>
  <c r="D394" i="17" s="1"/>
  <c r="F394" i="17" s="1"/>
  <c r="K394" i="17" s="1"/>
  <c r="J390" i="17"/>
  <c r="H390" i="17"/>
  <c r="D389" i="17"/>
  <c r="F389" i="17" s="1"/>
  <c r="K389" i="17" s="1"/>
  <c r="D388" i="17"/>
  <c r="F388" i="17" s="1"/>
  <c r="K388" i="17" s="1"/>
  <c r="F387" i="17"/>
  <c r="K387" i="17" s="1"/>
  <c r="D387" i="17"/>
  <c r="J386" i="17"/>
  <c r="H386" i="17"/>
  <c r="D385" i="17"/>
  <c r="F385" i="17" s="1"/>
  <c r="K385" i="17" s="1"/>
  <c r="D384" i="17"/>
  <c r="F384" i="17" s="1"/>
  <c r="K384" i="17" s="1"/>
  <c r="D383" i="17"/>
  <c r="F383" i="17" s="1"/>
  <c r="K383" i="17" s="1"/>
  <c r="J382" i="17"/>
  <c r="H382" i="17"/>
  <c r="D381" i="17"/>
  <c r="F381" i="17" s="1"/>
  <c r="K381" i="17" s="1"/>
  <c r="D379" i="17"/>
  <c r="F379" i="17" s="1"/>
  <c r="K379" i="17" s="1"/>
  <c r="D377" i="17"/>
  <c r="H377" i="17" s="1"/>
  <c r="J376" i="17"/>
  <c r="H376" i="17"/>
  <c r="F376" i="17"/>
  <c r="J370" i="17"/>
  <c r="D370" i="17"/>
  <c r="D375" i="17" s="1"/>
  <c r="F375" i="17" s="1"/>
  <c r="K375" i="17" s="1"/>
  <c r="D369" i="17"/>
  <c r="F369" i="17" s="1"/>
  <c r="K369" i="17" s="1"/>
  <c r="F368" i="17"/>
  <c r="K368" i="17" s="1"/>
  <c r="K367" i="17"/>
  <c r="F367" i="17"/>
  <c r="F366" i="17"/>
  <c r="K366" i="17" s="1"/>
  <c r="F365" i="17"/>
  <c r="K365" i="17" s="1"/>
  <c r="J364" i="17"/>
  <c r="H364" i="17"/>
  <c r="D363" i="17"/>
  <c r="H363" i="17" s="1"/>
  <c r="H362" i="17"/>
  <c r="K362" i="17" s="1"/>
  <c r="H361" i="17"/>
  <c r="K361" i="17" s="1"/>
  <c r="H360" i="17"/>
  <c r="K360" i="17" s="1"/>
  <c r="K359" i="17"/>
  <c r="H359" i="17"/>
  <c r="H358" i="17"/>
  <c r="K358" i="17" s="1"/>
  <c r="D357" i="17"/>
  <c r="H357" i="17" s="1"/>
  <c r="K357" i="17" s="1"/>
  <c r="K354" i="17"/>
  <c r="F354" i="17"/>
  <c r="J353" i="17"/>
  <c r="H353" i="17"/>
  <c r="F353" i="17"/>
  <c r="J352" i="17"/>
  <c r="H352" i="17"/>
  <c r="F352" i="17"/>
  <c r="H351" i="17"/>
  <c r="K351" i="17" s="1"/>
  <c r="F351" i="17"/>
  <c r="J350" i="17"/>
  <c r="H350" i="17"/>
  <c r="F350" i="17"/>
  <c r="J349" i="17"/>
  <c r="H349" i="17"/>
  <c r="F349" i="17"/>
  <c r="J348" i="17"/>
  <c r="H348" i="17"/>
  <c r="F348" i="17"/>
  <c r="J347" i="17"/>
  <c r="H347" i="17"/>
  <c r="F347" i="17"/>
  <c r="F346" i="17"/>
  <c r="K346" i="17" s="1"/>
  <c r="J345" i="17"/>
  <c r="H345" i="17"/>
  <c r="J343" i="17"/>
  <c r="H343" i="17"/>
  <c r="F343" i="17"/>
  <c r="J342" i="17"/>
  <c r="H342" i="17"/>
  <c r="F342" i="17"/>
  <c r="J341" i="17"/>
  <c r="H341" i="17"/>
  <c r="F341" i="17"/>
  <c r="J340" i="17"/>
  <c r="H340" i="17"/>
  <c r="K340" i="17" s="1"/>
  <c r="F340" i="17"/>
  <c r="J339" i="17"/>
  <c r="H339" i="17"/>
  <c r="F339" i="17"/>
  <c r="D338" i="17"/>
  <c r="F338" i="17" s="1"/>
  <c r="K338" i="17" s="1"/>
  <c r="F337" i="17"/>
  <c r="K337" i="17" s="1"/>
  <c r="J336" i="17"/>
  <c r="H336" i="17"/>
  <c r="F336" i="17"/>
  <c r="H335" i="17"/>
  <c r="F335" i="17"/>
  <c r="H334" i="17"/>
  <c r="D334" i="17"/>
  <c r="F334" i="17" s="1"/>
  <c r="J333" i="17"/>
  <c r="H333" i="17"/>
  <c r="F333" i="17"/>
  <c r="D332" i="17"/>
  <c r="F332" i="17" s="1"/>
  <c r="K332" i="17" s="1"/>
  <c r="F331" i="17"/>
  <c r="K331" i="17" s="1"/>
  <c r="F330" i="17"/>
  <c r="K330" i="17" s="1"/>
  <c r="J329" i="17"/>
  <c r="H329" i="17"/>
  <c r="F329" i="17"/>
  <c r="J328" i="17"/>
  <c r="H328" i="17"/>
  <c r="F328" i="17"/>
  <c r="H327" i="17"/>
  <c r="F327" i="17"/>
  <c r="H326" i="17"/>
  <c r="F326" i="17"/>
  <c r="H325" i="17"/>
  <c r="F325" i="17"/>
  <c r="J324" i="17"/>
  <c r="H324" i="17"/>
  <c r="F324" i="17"/>
  <c r="J323" i="17"/>
  <c r="H323" i="17"/>
  <c r="F323" i="17"/>
  <c r="D321" i="17"/>
  <c r="F321" i="17" s="1"/>
  <c r="K321" i="17" s="1"/>
  <c r="D320" i="17"/>
  <c r="F320" i="17" s="1"/>
  <c r="K320" i="17" s="1"/>
  <c r="F319" i="17"/>
  <c r="K319" i="17" s="1"/>
  <c r="D318" i="17"/>
  <c r="F318" i="17" s="1"/>
  <c r="K318" i="17" s="1"/>
  <c r="D317" i="17"/>
  <c r="F317" i="17" s="1"/>
  <c r="K317" i="17" s="1"/>
  <c r="D316" i="17"/>
  <c r="F316" i="17" s="1"/>
  <c r="K316" i="17" s="1"/>
  <c r="D315" i="17"/>
  <c r="F315" i="17" s="1"/>
  <c r="K315" i="17" s="1"/>
  <c r="D314" i="17"/>
  <c r="F314" i="17" s="1"/>
  <c r="K314" i="17" s="1"/>
  <c r="J313" i="17"/>
  <c r="H313" i="17"/>
  <c r="D312" i="17"/>
  <c r="F312" i="17" s="1"/>
  <c r="K312" i="17" s="1"/>
  <c r="D311" i="17"/>
  <c r="F311" i="17" s="1"/>
  <c r="K311" i="17" s="1"/>
  <c r="D310" i="17"/>
  <c r="F309" i="17"/>
  <c r="K309" i="17" s="1"/>
  <c r="D309" i="17"/>
  <c r="D308" i="17"/>
  <c r="F308" i="17" s="1"/>
  <c r="K308" i="17" s="1"/>
  <c r="J307" i="17"/>
  <c r="H307" i="17"/>
  <c r="D306" i="17"/>
  <c r="F306" i="17" s="1"/>
  <c r="K306" i="17" s="1"/>
  <c r="D305" i="17"/>
  <c r="F305" i="17" s="1"/>
  <c r="K305" i="17" s="1"/>
  <c r="D304" i="17"/>
  <c r="F304" i="17" s="1"/>
  <c r="K304" i="17" s="1"/>
  <c r="D303" i="17"/>
  <c r="D302" i="17"/>
  <c r="F302" i="17" s="1"/>
  <c r="J301" i="17"/>
  <c r="H301" i="17"/>
  <c r="D300" i="17"/>
  <c r="F300" i="17" s="1"/>
  <c r="K300" i="17" s="1"/>
  <c r="D299" i="17"/>
  <c r="F299" i="17" s="1"/>
  <c r="K299" i="17" s="1"/>
  <c r="D298" i="17"/>
  <c r="F298" i="17" s="1"/>
  <c r="K298" i="17" s="1"/>
  <c r="J297" i="17"/>
  <c r="F297" i="17"/>
  <c r="D297" i="17"/>
  <c r="D296" i="17"/>
  <c r="J295" i="17"/>
  <c r="H295" i="17"/>
  <c r="J294" i="17"/>
  <c r="H294" i="17"/>
  <c r="K294" i="17" s="1"/>
  <c r="F294" i="17"/>
  <c r="D293" i="17"/>
  <c r="F293" i="17" s="1"/>
  <c r="K293" i="17" s="1"/>
  <c r="D292" i="17"/>
  <c r="F292" i="17" s="1"/>
  <c r="K292" i="17" s="1"/>
  <c r="D291" i="17"/>
  <c r="F291" i="17" s="1"/>
  <c r="K291" i="17" s="1"/>
  <c r="J290" i="17"/>
  <c r="H290" i="17"/>
  <c r="J289" i="17"/>
  <c r="D287" i="17"/>
  <c r="D288" i="17" s="1"/>
  <c r="J288" i="17" s="1"/>
  <c r="J286" i="17"/>
  <c r="H286" i="17"/>
  <c r="F284" i="17"/>
  <c r="K284" i="17" s="1"/>
  <c r="D282" i="17"/>
  <c r="D281" i="17"/>
  <c r="F281" i="17" s="1"/>
  <c r="J280" i="17"/>
  <c r="D280" i="17"/>
  <c r="H280" i="17" s="1"/>
  <c r="D279" i="17"/>
  <c r="F279" i="17" s="1"/>
  <c r="K279" i="17" s="1"/>
  <c r="D278" i="17"/>
  <c r="F278" i="17" s="1"/>
  <c r="K278" i="17" s="1"/>
  <c r="D277" i="17"/>
  <c r="F277" i="17" s="1"/>
  <c r="K277" i="17" s="1"/>
  <c r="J276" i="17"/>
  <c r="H276" i="17"/>
  <c r="D272" i="17"/>
  <c r="F272" i="17" s="1"/>
  <c r="K272" i="17" s="1"/>
  <c r="D271" i="17"/>
  <c r="D275" i="17" s="1"/>
  <c r="F275" i="17" s="1"/>
  <c r="K275" i="17" s="1"/>
  <c r="D266" i="17"/>
  <c r="D268" i="17" s="1"/>
  <c r="F265" i="17"/>
  <c r="K265" i="17" s="1"/>
  <c r="D265" i="17"/>
  <c r="K264" i="17"/>
  <c r="D264" i="17"/>
  <c r="F264" i="17" s="1"/>
  <c r="F263" i="17"/>
  <c r="K263" i="17" s="1"/>
  <c r="D263" i="17"/>
  <c r="D262" i="17"/>
  <c r="F262" i="17" s="1"/>
  <c r="K262" i="17" s="1"/>
  <c r="J261" i="17"/>
  <c r="H261" i="17"/>
  <c r="F260" i="17"/>
  <c r="K260" i="17" s="1"/>
  <c r="D260" i="17"/>
  <c r="D259" i="17"/>
  <c r="F259" i="17" s="1"/>
  <c r="K259" i="17" s="1"/>
  <c r="D258" i="17"/>
  <c r="F258" i="17" s="1"/>
  <c r="K258" i="17" s="1"/>
  <c r="K257" i="17"/>
  <c r="D257" i="17"/>
  <c r="F257" i="17" s="1"/>
  <c r="F256" i="17"/>
  <c r="K256" i="17" s="1"/>
  <c r="D256" i="17"/>
  <c r="J255" i="17"/>
  <c r="H255" i="17"/>
  <c r="D253" i="17"/>
  <c r="F253" i="17" s="1"/>
  <c r="K253" i="17" s="1"/>
  <c r="D252" i="17"/>
  <c r="F252" i="17" s="1"/>
  <c r="K252" i="17" s="1"/>
  <c r="D251" i="17"/>
  <c r="F251" i="17" s="1"/>
  <c r="K251" i="17" s="1"/>
  <c r="H250" i="17"/>
  <c r="K250" i="17" s="1"/>
  <c r="K248" i="17"/>
  <c r="D247" i="17"/>
  <c r="F247" i="17" s="1"/>
  <c r="K247" i="17" s="1"/>
  <c r="D246" i="17"/>
  <c r="F246" i="17" s="1"/>
  <c r="K246" i="17" s="1"/>
  <c r="J245" i="17"/>
  <c r="H245" i="17"/>
  <c r="D241" i="17"/>
  <c r="J240" i="17"/>
  <c r="H240" i="17"/>
  <c r="F240" i="17"/>
  <c r="D236" i="17"/>
  <c r="D235" i="17"/>
  <c r="H229" i="17"/>
  <c r="D229" i="17"/>
  <c r="D233" i="17" s="1"/>
  <c r="F233" i="17" s="1"/>
  <c r="K233" i="17" s="1"/>
  <c r="D228" i="17"/>
  <c r="J228" i="17" s="1"/>
  <c r="H227" i="17"/>
  <c r="K227" i="17" s="1"/>
  <c r="D226" i="17"/>
  <c r="H226" i="17" s="1"/>
  <c r="K226" i="17" s="1"/>
  <c r="H225" i="17"/>
  <c r="K225" i="17" s="1"/>
  <c r="H224" i="17"/>
  <c r="K224" i="17" s="1"/>
  <c r="J223" i="17"/>
  <c r="H223" i="17"/>
  <c r="J222" i="17"/>
  <c r="H222" i="17"/>
  <c r="J221" i="17"/>
  <c r="H221" i="17"/>
  <c r="H220" i="17"/>
  <c r="K220" i="17" s="1"/>
  <c r="D220" i="17"/>
  <c r="H219" i="17"/>
  <c r="K219" i="17" s="1"/>
  <c r="H218" i="17"/>
  <c r="K218" i="17" s="1"/>
  <c r="D217" i="17"/>
  <c r="H217" i="17" s="1"/>
  <c r="K217" i="17" s="1"/>
  <c r="H216" i="17"/>
  <c r="K216" i="17" s="1"/>
  <c r="D213" i="17"/>
  <c r="F213" i="17" s="1"/>
  <c r="K213" i="17" s="1"/>
  <c r="D212" i="17"/>
  <c r="F212" i="17" s="1"/>
  <c r="K212" i="17" s="1"/>
  <c r="F211" i="17"/>
  <c r="K211" i="17" s="1"/>
  <c r="D210" i="17"/>
  <c r="F210" i="17" s="1"/>
  <c r="K210" i="17" s="1"/>
  <c r="D209" i="17"/>
  <c r="F209" i="17" s="1"/>
  <c r="K209" i="17" s="1"/>
  <c r="D208" i="17"/>
  <c r="F208" i="17" s="1"/>
  <c r="K208" i="17" s="1"/>
  <c r="D207" i="17"/>
  <c r="F207" i="17" s="1"/>
  <c r="K207" i="17" s="1"/>
  <c r="D206" i="17"/>
  <c r="F206" i="17" s="1"/>
  <c r="K206" i="17" s="1"/>
  <c r="J205" i="17"/>
  <c r="H205" i="17"/>
  <c r="D204" i="17"/>
  <c r="F204" i="17" s="1"/>
  <c r="K204" i="17" s="1"/>
  <c r="D203" i="17"/>
  <c r="F203" i="17" s="1"/>
  <c r="K203" i="17" s="1"/>
  <c r="F202" i="17"/>
  <c r="K202" i="17" s="1"/>
  <c r="D202" i="17"/>
  <c r="D201" i="17"/>
  <c r="F201" i="17" s="1"/>
  <c r="K201" i="17" s="1"/>
  <c r="D200" i="17"/>
  <c r="F200" i="17" s="1"/>
  <c r="K200" i="17" s="1"/>
  <c r="D199" i="17"/>
  <c r="F199" i="17" s="1"/>
  <c r="K199" i="17" s="1"/>
  <c r="J198" i="17"/>
  <c r="H198" i="17"/>
  <c r="D197" i="17"/>
  <c r="F197" i="17" s="1"/>
  <c r="K197" i="17" s="1"/>
  <c r="D196" i="17"/>
  <c r="F196" i="17" s="1"/>
  <c r="K196" i="17" s="1"/>
  <c r="D195" i="17"/>
  <c r="J194" i="17"/>
  <c r="H194" i="17"/>
  <c r="K194" i="17" s="1"/>
  <c r="H193" i="17"/>
  <c r="K193" i="17" s="1"/>
  <c r="D192" i="17"/>
  <c r="D191" i="17"/>
  <c r="H191" i="17" s="1"/>
  <c r="K191" i="17" s="1"/>
  <c r="F188" i="17"/>
  <c r="K188" i="17" s="1"/>
  <c r="J187" i="17"/>
  <c r="H187" i="17"/>
  <c r="F187" i="17"/>
  <c r="J186" i="17"/>
  <c r="H186" i="17"/>
  <c r="F186" i="17"/>
  <c r="J185" i="17"/>
  <c r="H185" i="17"/>
  <c r="F185" i="17"/>
  <c r="J184" i="17"/>
  <c r="H184" i="17"/>
  <c r="F184" i="17"/>
  <c r="F183" i="17"/>
  <c r="K183" i="17" s="1"/>
  <c r="J182" i="17"/>
  <c r="H182" i="17"/>
  <c r="F180" i="17"/>
  <c r="K180" i="17" s="1"/>
  <c r="F179" i="17"/>
  <c r="K179" i="17" s="1"/>
  <c r="H178" i="17"/>
  <c r="F178" i="17"/>
  <c r="H177" i="17"/>
  <c r="F177" i="17"/>
  <c r="J176" i="17"/>
  <c r="H176" i="17"/>
  <c r="F176" i="17"/>
  <c r="J174" i="17"/>
  <c r="H174" i="17"/>
  <c r="F174" i="17"/>
  <c r="J173" i="17"/>
  <c r="H173" i="17"/>
  <c r="D171" i="17"/>
  <c r="F171" i="17" s="1"/>
  <c r="K171" i="17" s="1"/>
  <c r="D170" i="17"/>
  <c r="F170" i="17" s="1"/>
  <c r="K170" i="17" s="1"/>
  <c r="F169" i="17"/>
  <c r="K169" i="17" s="1"/>
  <c r="D168" i="17"/>
  <c r="F168" i="17" s="1"/>
  <c r="K168" i="17" s="1"/>
  <c r="D167" i="17"/>
  <c r="F167" i="17" s="1"/>
  <c r="K167" i="17" s="1"/>
  <c r="D166" i="17"/>
  <c r="F166" i="17" s="1"/>
  <c r="K166" i="17" s="1"/>
  <c r="D165" i="17"/>
  <c r="F165" i="17" s="1"/>
  <c r="K165" i="17" s="1"/>
  <c r="D164" i="17"/>
  <c r="F164" i="17" s="1"/>
  <c r="K164" i="17" s="1"/>
  <c r="J163" i="17"/>
  <c r="H163" i="17"/>
  <c r="H162" i="17"/>
  <c r="F162" i="17"/>
  <c r="D161" i="17"/>
  <c r="F161" i="17" s="1"/>
  <c r="K161" i="17" s="1"/>
  <c r="D160" i="17"/>
  <c r="F160" i="17" s="1"/>
  <c r="K160" i="17" s="1"/>
  <c r="J159" i="17"/>
  <c r="H159" i="17"/>
  <c r="D158" i="17"/>
  <c r="F158" i="17" s="1"/>
  <c r="K158" i="17" s="1"/>
  <c r="D157" i="17"/>
  <c r="F157" i="17" s="1"/>
  <c r="K157" i="17" s="1"/>
  <c r="J156" i="17"/>
  <c r="H156" i="17"/>
  <c r="D155" i="17"/>
  <c r="F155" i="17" s="1"/>
  <c r="D150" i="17"/>
  <c r="D152" i="17" s="1"/>
  <c r="F152" i="17" s="1"/>
  <c r="K152" i="17" s="1"/>
  <c r="H149" i="17"/>
  <c r="K149" i="17" s="1"/>
  <c r="H148" i="17"/>
  <c r="K148" i="17" s="1"/>
  <c r="D148" i="17"/>
  <c r="H147" i="17"/>
  <c r="K147" i="17" s="1"/>
  <c r="J146" i="17"/>
  <c r="K146" i="17" s="1"/>
  <c r="H146" i="17"/>
  <c r="F143" i="17"/>
  <c r="K143" i="17" s="1"/>
  <c r="J142" i="17"/>
  <c r="H142" i="17"/>
  <c r="F142" i="17"/>
  <c r="J141" i="17"/>
  <c r="H141" i="17"/>
  <c r="F141" i="17"/>
  <c r="H140" i="17"/>
  <c r="F140" i="17"/>
  <c r="J139" i="17"/>
  <c r="H139" i="17"/>
  <c r="F139" i="17"/>
  <c r="J138" i="17"/>
  <c r="H138" i="17"/>
  <c r="F138" i="17"/>
  <c r="J137" i="17"/>
  <c r="H137" i="17"/>
  <c r="F137" i="17"/>
  <c r="J136" i="17"/>
  <c r="H136" i="17"/>
  <c r="F136" i="17"/>
  <c r="F135" i="17"/>
  <c r="K135" i="17" s="1"/>
  <c r="J134" i="17"/>
  <c r="K134" i="17" s="1"/>
  <c r="H134" i="17"/>
  <c r="H133" i="17"/>
  <c r="K133" i="17" s="1"/>
  <c r="J131" i="17"/>
  <c r="H131" i="17"/>
  <c r="F131" i="17"/>
  <c r="F130" i="17"/>
  <c r="K130" i="17" s="1"/>
  <c r="F129" i="17"/>
  <c r="K129" i="17" s="1"/>
  <c r="J128" i="17"/>
  <c r="H128" i="17"/>
  <c r="F128" i="17"/>
  <c r="H127" i="17"/>
  <c r="F127" i="17"/>
  <c r="H126" i="17"/>
  <c r="F126" i="17"/>
  <c r="J121" i="17"/>
  <c r="H121" i="17"/>
  <c r="F121" i="17"/>
  <c r="J120" i="17"/>
  <c r="H120" i="17"/>
  <c r="F120" i="17"/>
  <c r="H119" i="17"/>
  <c r="F119" i="17"/>
  <c r="J118" i="17"/>
  <c r="H118" i="17"/>
  <c r="F118" i="17"/>
  <c r="J117" i="17"/>
  <c r="H117" i="17"/>
  <c r="F117" i="17"/>
  <c r="D112" i="17"/>
  <c r="F112" i="17" s="1"/>
  <c r="K112" i="17" s="1"/>
  <c r="H111" i="17"/>
  <c r="K111" i="17" s="1"/>
  <c r="D111" i="17"/>
  <c r="D113" i="17" s="1"/>
  <c r="F113" i="17" s="1"/>
  <c r="K113" i="17" s="1"/>
  <c r="D110" i="17"/>
  <c r="F110" i="17" s="1"/>
  <c r="K110" i="17" s="1"/>
  <c r="F109" i="17"/>
  <c r="K109" i="17" s="1"/>
  <c r="D108" i="17"/>
  <c r="D115" i="17" s="1"/>
  <c r="F115" i="17" s="1"/>
  <c r="K115" i="17" s="1"/>
  <c r="D107" i="17"/>
  <c r="F107" i="17" s="1"/>
  <c r="K107" i="17" s="1"/>
  <c r="D106" i="17"/>
  <c r="F106" i="17" s="1"/>
  <c r="K106" i="17" s="1"/>
  <c r="F105" i="17"/>
  <c r="K105" i="17" s="1"/>
  <c r="D105" i="17"/>
  <c r="F104" i="17"/>
  <c r="K104" i="17" s="1"/>
  <c r="D104" i="17"/>
  <c r="J103" i="17"/>
  <c r="H103" i="17"/>
  <c r="D102" i="17"/>
  <c r="F102" i="17" s="1"/>
  <c r="K102" i="17" s="1"/>
  <c r="K101" i="17"/>
  <c r="F101" i="17"/>
  <c r="F100" i="17"/>
  <c r="K100" i="17" s="1"/>
  <c r="D100" i="17"/>
  <c r="J99" i="17"/>
  <c r="H99" i="17"/>
  <c r="K99" i="17" s="1"/>
  <c r="J98" i="17"/>
  <c r="D96" i="17"/>
  <c r="J96" i="17" s="1"/>
  <c r="J95" i="17"/>
  <c r="H95" i="17"/>
  <c r="D94" i="17"/>
  <c r="F94" i="17" s="1"/>
  <c r="K94" i="17" s="1"/>
  <c r="D93" i="17"/>
  <c r="F93" i="17" s="1"/>
  <c r="K93" i="17" s="1"/>
  <c r="F92" i="17"/>
  <c r="K92" i="17" s="1"/>
  <c r="D92" i="17"/>
  <c r="D91" i="17"/>
  <c r="F91" i="17" s="1"/>
  <c r="K91" i="17" s="1"/>
  <c r="D90" i="17"/>
  <c r="F90" i="17" s="1"/>
  <c r="K90" i="17" s="1"/>
  <c r="J89" i="17"/>
  <c r="H89" i="17"/>
  <c r="K89" i="17" s="1"/>
  <c r="D88" i="17"/>
  <c r="F88" i="17" s="1"/>
  <c r="K88" i="17" s="1"/>
  <c r="D87" i="17"/>
  <c r="F87" i="17" s="1"/>
  <c r="K87" i="17" s="1"/>
  <c r="D86" i="17"/>
  <c r="F86" i="17" s="1"/>
  <c r="K86" i="17" s="1"/>
  <c r="D85" i="17"/>
  <c r="J85" i="17" s="1"/>
  <c r="D84" i="17"/>
  <c r="J84" i="17" s="1"/>
  <c r="J83" i="17"/>
  <c r="H83" i="17"/>
  <c r="D82" i="17"/>
  <c r="F82" i="17" s="1"/>
  <c r="K82" i="17" s="1"/>
  <c r="D81" i="17"/>
  <c r="F81" i="17" s="1"/>
  <c r="K81" i="17" s="1"/>
  <c r="D80" i="17"/>
  <c r="F80" i="17" s="1"/>
  <c r="K80" i="17" s="1"/>
  <c r="F79" i="17"/>
  <c r="D79" i="17"/>
  <c r="J79" i="17" s="1"/>
  <c r="D78" i="17"/>
  <c r="J78" i="17" s="1"/>
  <c r="J77" i="17"/>
  <c r="H77" i="17"/>
  <c r="J76" i="17"/>
  <c r="H76" i="17"/>
  <c r="F76" i="17"/>
  <c r="D75" i="17"/>
  <c r="F75" i="17" s="1"/>
  <c r="K75" i="17" s="1"/>
  <c r="D74" i="17"/>
  <c r="F74" i="17" s="1"/>
  <c r="K74" i="17" s="1"/>
  <c r="D73" i="17"/>
  <c r="F73" i="17" s="1"/>
  <c r="K73" i="17" s="1"/>
  <c r="J72" i="17"/>
  <c r="K72" i="17" s="1"/>
  <c r="H72" i="17"/>
  <c r="H71" i="17"/>
  <c r="D71" i="17"/>
  <c r="J71" i="17" s="1"/>
  <c r="D70" i="17"/>
  <c r="F70" i="17" s="1"/>
  <c r="D68" i="17"/>
  <c r="F68" i="17" s="1"/>
  <c r="K68" i="17" s="1"/>
  <c r="D67" i="17"/>
  <c r="F67" i="17" s="1"/>
  <c r="K67" i="17" s="1"/>
  <c r="J66" i="17"/>
  <c r="H66" i="17"/>
  <c r="D62" i="17"/>
  <c r="F62" i="17" s="1"/>
  <c r="K62" i="17" s="1"/>
  <c r="J60" i="17"/>
  <c r="H60" i="17"/>
  <c r="D59" i="17"/>
  <c r="D63" i="17" s="1"/>
  <c r="D64" i="17" s="1"/>
  <c r="H58" i="17"/>
  <c r="K58" i="17" s="1"/>
  <c r="H57" i="17"/>
  <c r="K57" i="17" s="1"/>
  <c r="H56" i="17"/>
  <c r="K56" i="17" s="1"/>
  <c r="H55" i="17"/>
  <c r="K55" i="17" s="1"/>
  <c r="H54" i="17"/>
  <c r="K54" i="17" s="1"/>
  <c r="H53" i="17"/>
  <c r="K53" i="17" s="1"/>
  <c r="D53" i="17"/>
  <c r="H52" i="17"/>
  <c r="K52" i="17" s="1"/>
  <c r="D51" i="17"/>
  <c r="H50" i="17"/>
  <c r="K50" i="17" s="1"/>
  <c r="D49" i="17"/>
  <c r="F49" i="17" s="1"/>
  <c r="K49" i="17" s="1"/>
  <c r="D48" i="17"/>
  <c r="F48" i="17" s="1"/>
  <c r="K48" i="17" s="1"/>
  <c r="D47" i="17"/>
  <c r="F47" i="17" s="1"/>
  <c r="K47" i="17" s="1"/>
  <c r="D46" i="17"/>
  <c r="J46" i="17" s="1"/>
  <c r="D45" i="17"/>
  <c r="F45" i="17" s="1"/>
  <c r="K45" i="17" s="1"/>
  <c r="J44" i="17"/>
  <c r="H44" i="17"/>
  <c r="F43" i="17"/>
  <c r="K43" i="17" s="1"/>
  <c r="D41" i="17"/>
  <c r="D42" i="17" s="1"/>
  <c r="F42" i="17" s="1"/>
  <c r="K42" i="17" s="1"/>
  <c r="D40" i="17"/>
  <c r="F40" i="17" s="1"/>
  <c r="K40" i="17" s="1"/>
  <c r="H39" i="17"/>
  <c r="K39" i="17" s="1"/>
  <c r="D35" i="17"/>
  <c r="D37" i="17" s="1"/>
  <c r="F37" i="17" s="1"/>
  <c r="K37" i="17" s="1"/>
  <c r="D34" i="17"/>
  <c r="F34" i="17" s="1"/>
  <c r="K34" i="17" s="1"/>
  <c r="F33" i="17"/>
  <c r="K33" i="17" s="1"/>
  <c r="F32" i="17"/>
  <c r="K32" i="17" s="1"/>
  <c r="F31" i="17"/>
  <c r="K31" i="17" s="1"/>
  <c r="F30" i="17"/>
  <c r="K30" i="17" s="1"/>
  <c r="F29" i="17"/>
  <c r="K29" i="17" s="1"/>
  <c r="D28" i="17"/>
  <c r="J28" i="17" s="1"/>
  <c r="J27" i="17"/>
  <c r="H27" i="17"/>
  <c r="F27" i="17"/>
  <c r="D26" i="17"/>
  <c r="F26" i="17" s="1"/>
  <c r="K26" i="17" s="1"/>
  <c r="D25" i="17"/>
  <c r="F25" i="17" s="1"/>
  <c r="K25" i="17" s="1"/>
  <c r="D24" i="17"/>
  <c r="F24" i="17" s="1"/>
  <c r="K24" i="17" s="1"/>
  <c r="H23" i="17"/>
  <c r="K23" i="17" s="1"/>
  <c r="D22" i="17"/>
  <c r="J22" i="17" s="1"/>
  <c r="J21" i="17"/>
  <c r="D21" i="17"/>
  <c r="H21" i="17" s="1"/>
  <c r="H20" i="17"/>
  <c r="K20" i="17" s="1"/>
  <c r="H19" i="17"/>
  <c r="K19" i="17" s="1"/>
  <c r="F17" i="17"/>
  <c r="K17" i="17" s="1"/>
  <c r="F16" i="17"/>
  <c r="K16" i="17" s="1"/>
  <c r="F15" i="17"/>
  <c r="K15" i="17" s="1"/>
  <c r="F14" i="17"/>
  <c r="D13" i="17"/>
  <c r="D18" i="17" s="1"/>
  <c r="F18" i="17" s="1"/>
  <c r="K18" i="17" s="1"/>
  <c r="D12" i="17"/>
  <c r="J12" i="17" s="1"/>
  <c r="K27" i="17" l="1"/>
  <c r="K290" i="17"/>
  <c r="K295" i="17"/>
  <c r="K511" i="17"/>
  <c r="K77" i="17"/>
  <c r="K184" i="17"/>
  <c r="K286" i="17"/>
  <c r="K261" i="17"/>
  <c r="K240" i="17"/>
  <c r="K515" i="17"/>
  <c r="K345" i="17"/>
  <c r="K76" i="17"/>
  <c r="K128" i="17"/>
  <c r="K137" i="17"/>
  <c r="D97" i="17"/>
  <c r="J97" i="17" s="1"/>
  <c r="K126" i="17"/>
  <c r="K141" i="17"/>
  <c r="K221" i="17"/>
  <c r="D254" i="17"/>
  <c r="F254" i="17" s="1"/>
  <c r="K254" i="17" s="1"/>
  <c r="H266" i="17"/>
  <c r="K335" i="17"/>
  <c r="K342" i="17"/>
  <c r="J363" i="17"/>
  <c r="K401" i="17"/>
  <c r="K415" i="17"/>
  <c r="K432" i="17"/>
  <c r="H28" i="17"/>
  <c r="F71" i="17"/>
  <c r="K71" i="17" s="1"/>
  <c r="K510" i="17"/>
  <c r="K66" i="17"/>
  <c r="F78" i="17"/>
  <c r="K138" i="17"/>
  <c r="K176" i="17"/>
  <c r="K255" i="17"/>
  <c r="K324" i="17"/>
  <c r="J377" i="17"/>
  <c r="K377" i="17" s="1"/>
  <c r="K468" i="17"/>
  <c r="K543" i="17"/>
  <c r="K103" i="17"/>
  <c r="K120" i="17"/>
  <c r="H150" i="17"/>
  <c r="K150" i="17" s="1"/>
  <c r="K228" i="17"/>
  <c r="K44" i="17"/>
  <c r="J13" i="17"/>
  <c r="F21" i="17"/>
  <c r="K21" i="17" s="1"/>
  <c r="K173" i="17"/>
  <c r="K223" i="17"/>
  <c r="H228" i="17"/>
  <c r="H271" i="17"/>
  <c r="F280" i="17"/>
  <c r="K307" i="17"/>
  <c r="K313" i="17"/>
  <c r="K333" i="17"/>
  <c r="H370" i="17"/>
  <c r="K370" i="17" s="1"/>
  <c r="D380" i="17"/>
  <c r="F380" i="17" s="1"/>
  <c r="K380" i="17" s="1"/>
  <c r="K455" i="17"/>
  <c r="K535" i="17"/>
  <c r="K527" i="17"/>
  <c r="D61" i="17"/>
  <c r="F61" i="17" s="1"/>
  <c r="K61" i="17" s="1"/>
  <c r="H70" i="17"/>
  <c r="K95" i="17"/>
  <c r="K162" i="17"/>
  <c r="K178" i="17"/>
  <c r="K198" i="17"/>
  <c r="K205" i="17"/>
  <c r="K326" i="17"/>
  <c r="K334" i="17"/>
  <c r="J410" i="17"/>
  <c r="K297" i="17"/>
  <c r="K376" i="17"/>
  <c r="D238" i="17"/>
  <c r="F238" i="17" s="1"/>
  <c r="K238" i="17" s="1"/>
  <c r="D239" i="17"/>
  <c r="F239" i="17" s="1"/>
  <c r="K239" i="17" s="1"/>
  <c r="H236" i="17"/>
  <c r="K236" i="17" s="1"/>
  <c r="J447" i="17"/>
  <c r="K447" i="17" s="1"/>
  <c r="F447" i="17"/>
  <c r="H35" i="17"/>
  <c r="H41" i="17"/>
  <c r="K41" i="17" s="1"/>
  <c r="H59" i="17"/>
  <c r="K59" i="17" s="1"/>
  <c r="D114" i="17"/>
  <c r="F114" i="17" s="1"/>
  <c r="K114" i="17" s="1"/>
  <c r="J195" i="17"/>
  <c r="F195" i="17"/>
  <c r="D243" i="17"/>
  <c r="F243" i="17" s="1"/>
  <c r="K243" i="17" s="1"/>
  <c r="D242" i="17"/>
  <c r="F242" i="17" s="1"/>
  <c r="K242" i="17" s="1"/>
  <c r="J241" i="17"/>
  <c r="D244" i="17"/>
  <c r="F244" i="17" s="1"/>
  <c r="K244" i="17" s="1"/>
  <c r="K245" i="17"/>
  <c r="J296" i="17"/>
  <c r="F296" i="17"/>
  <c r="K363" i="17"/>
  <c r="K537" i="17"/>
  <c r="K136" i="17"/>
  <c r="H192" i="17"/>
  <c r="F192" i="17"/>
  <c r="K467" i="17"/>
  <c r="D38" i="17"/>
  <c r="F38" i="17" s="1"/>
  <c r="K38" i="17" s="1"/>
  <c r="J35" i="17"/>
  <c r="H13" i="17"/>
  <c r="K13" i="17" s="1"/>
  <c r="D36" i="17"/>
  <c r="F36" i="17" s="1"/>
  <c r="K36" i="17" s="1"/>
  <c r="F46" i="17"/>
  <c r="K46" i="17" s="1"/>
  <c r="H51" i="17"/>
  <c r="K51" i="17" s="1"/>
  <c r="K79" i="17"/>
  <c r="F96" i="17"/>
  <c r="F108" i="17"/>
  <c r="K108" i="17" s="1"/>
  <c r="K182" i="17"/>
  <c r="J192" i="17"/>
  <c r="J235" i="17"/>
  <c r="H235" i="17"/>
  <c r="F235" i="17"/>
  <c r="F303" i="17"/>
  <c r="J303" i="17"/>
  <c r="K466" i="17"/>
  <c r="K121" i="17"/>
  <c r="K127" i="17"/>
  <c r="K140" i="17"/>
  <c r="K159" i="17"/>
  <c r="K163" i="17"/>
  <c r="K174" i="17"/>
  <c r="K185" i="17"/>
  <c r="K222" i="17"/>
  <c r="J229" i="17"/>
  <c r="K229" i="17" s="1"/>
  <c r="H241" i="17"/>
  <c r="K280" i="17"/>
  <c r="K301" i="17"/>
  <c r="K325" i="17"/>
  <c r="K327" i="17"/>
  <c r="K350" i="17"/>
  <c r="D374" i="17"/>
  <c r="F374" i="17" s="1"/>
  <c r="K374" i="17" s="1"/>
  <c r="D411" i="17"/>
  <c r="F411" i="17" s="1"/>
  <c r="K411" i="17" s="1"/>
  <c r="F418" i="17"/>
  <c r="K418" i="17" s="1"/>
  <c r="K453" i="17"/>
  <c r="K458" i="17"/>
  <c r="K465" i="17"/>
  <c r="K494" i="17"/>
  <c r="D504" i="17"/>
  <c r="F504" i="17" s="1"/>
  <c r="K504" i="17" s="1"/>
  <c r="K528" i="17"/>
  <c r="K547" i="17"/>
  <c r="D230" i="17"/>
  <c r="F230" i="17" s="1"/>
  <c r="K230" i="17" s="1"/>
  <c r="D249" i="17"/>
  <c r="F249" i="17" s="1"/>
  <c r="K249" i="17" s="1"/>
  <c r="K343" i="17"/>
  <c r="K353" i="17"/>
  <c r="K452" i="17"/>
  <c r="K463" i="17"/>
  <c r="K526" i="17"/>
  <c r="K117" i="17"/>
  <c r="K119" i="17"/>
  <c r="K142" i="17"/>
  <c r="D151" i="17"/>
  <c r="F151" i="17" s="1"/>
  <c r="K151" i="17" s="1"/>
  <c r="K156" i="17"/>
  <c r="K177" i="17"/>
  <c r="D234" i="17"/>
  <c r="F234" i="17" s="1"/>
  <c r="K234" i="17" s="1"/>
  <c r="J271" i="17"/>
  <c r="H281" i="17"/>
  <c r="F287" i="17"/>
  <c r="J302" i="17"/>
  <c r="K302" i="17" s="1"/>
  <c r="F310" i="17"/>
  <c r="K310" i="17" s="1"/>
  <c r="K323" i="17"/>
  <c r="K341" i="17"/>
  <c r="K349" i="17"/>
  <c r="K382" i="17"/>
  <c r="K406" i="17"/>
  <c r="K421" i="17"/>
  <c r="K425" i="17"/>
  <c r="K441" i="17"/>
  <c r="F446" i="17"/>
  <c r="K446" i="17" s="1"/>
  <c r="K456" i="17"/>
  <c r="K461" i="17"/>
  <c r="F502" i="17"/>
  <c r="K502" i="17" s="1"/>
  <c r="K525" i="17"/>
  <c r="K536" i="17"/>
  <c r="K544" i="17"/>
  <c r="K78" i="17"/>
  <c r="K545" i="17"/>
  <c r="K530" i="17"/>
  <c r="K339" i="17"/>
  <c r="K131" i="17"/>
  <c r="K28" i="17"/>
  <c r="K60" i="17"/>
  <c r="D69" i="17"/>
  <c r="F69" i="17" s="1"/>
  <c r="K69" i="17" s="1"/>
  <c r="D65" i="17"/>
  <c r="F65" i="17" s="1"/>
  <c r="K65" i="17" s="1"/>
  <c r="F64" i="17"/>
  <c r="K64" i="17" s="1"/>
  <c r="K83" i="17"/>
  <c r="F22" i="17"/>
  <c r="F63" i="17"/>
  <c r="K63" i="17" s="1"/>
  <c r="J70" i="17"/>
  <c r="K70" i="17" s="1"/>
  <c r="F84" i="17"/>
  <c r="K84" i="17" s="1"/>
  <c r="F85" i="17"/>
  <c r="K85" i="17" s="1"/>
  <c r="F97" i="17"/>
  <c r="F98" i="17" s="1"/>
  <c r="K98" i="17" s="1"/>
  <c r="D153" i="17"/>
  <c r="H155" i="17"/>
  <c r="K118" i="17"/>
  <c r="J155" i="17"/>
  <c r="K187" i="17"/>
  <c r="H12" i="17"/>
  <c r="K12" i="17" s="1"/>
  <c r="H22" i="17"/>
  <c r="K14" i="17"/>
  <c r="K96" i="17"/>
  <c r="K139" i="17"/>
  <c r="K186" i="17"/>
  <c r="J266" i="17"/>
  <c r="K266" i="17" s="1"/>
  <c r="D267" i="17"/>
  <c r="F267" i="17" s="1"/>
  <c r="K267" i="17" s="1"/>
  <c r="D270" i="17"/>
  <c r="F270" i="17" s="1"/>
  <c r="K270" i="17" s="1"/>
  <c r="K271" i="17"/>
  <c r="K276" i="17"/>
  <c r="J281" i="17"/>
  <c r="F288" i="17"/>
  <c r="K288" i="17" s="1"/>
  <c r="K329" i="17"/>
  <c r="D269" i="17"/>
  <c r="F269" i="17" s="1"/>
  <c r="K269" i="17" s="1"/>
  <c r="F268" i="17"/>
  <c r="K268" i="17" s="1"/>
  <c r="D283" i="17"/>
  <c r="F283" i="17" s="1"/>
  <c r="K283" i="17" s="1"/>
  <c r="J282" i="17"/>
  <c r="K328" i="17"/>
  <c r="K336" i="17"/>
  <c r="K347" i="17"/>
  <c r="D237" i="17"/>
  <c r="F237" i="17" s="1"/>
  <c r="K237" i="17" s="1"/>
  <c r="F289" i="17"/>
  <c r="K289" i="17" s="1"/>
  <c r="H282" i="17"/>
  <c r="D285" i="17"/>
  <c r="F285" i="17" s="1"/>
  <c r="K285" i="17" s="1"/>
  <c r="D231" i="17"/>
  <c r="D273" i="17"/>
  <c r="J287" i="17"/>
  <c r="K348" i="17"/>
  <c r="K352" i="17"/>
  <c r="K386" i="17"/>
  <c r="F396" i="17"/>
  <c r="K396" i="17" s="1"/>
  <c r="F400" i="17"/>
  <c r="K426" i="17"/>
  <c r="J496" i="17"/>
  <c r="F496" i="17"/>
  <c r="K534" i="17"/>
  <c r="K546" i="17"/>
  <c r="K390" i="17"/>
  <c r="H400" i="17"/>
  <c r="K400" i="17" s="1"/>
  <c r="F412" i="17"/>
  <c r="K412" i="17" s="1"/>
  <c r="D508" i="17"/>
  <c r="F507" i="17"/>
  <c r="K507" i="17" s="1"/>
  <c r="K364" i="17"/>
  <c r="D404" i="17"/>
  <c r="F404" i="17" s="1"/>
  <c r="K404" i="17" s="1"/>
  <c r="K410" i="17"/>
  <c r="K483" i="17"/>
  <c r="K529" i="17"/>
  <c r="K548" i="17"/>
  <c r="J495" i="17"/>
  <c r="F495" i="17"/>
  <c r="D372" i="17"/>
  <c r="D378" i="17"/>
  <c r="F378" i="17" s="1"/>
  <c r="K378" i="17" s="1"/>
  <c r="D371" i="17"/>
  <c r="F371" i="17" s="1"/>
  <c r="K371" i="17" s="1"/>
  <c r="K22" i="17" l="1"/>
  <c r="K281" i="17"/>
  <c r="K192" i="17"/>
  <c r="K97" i="17"/>
  <c r="K282" i="17"/>
  <c r="K35" i="17"/>
  <c r="K195" i="17"/>
  <c r="K287" i="17"/>
  <c r="K303" i="17"/>
  <c r="K235" i="17"/>
  <c r="K296" i="17"/>
  <c r="K241" i="17"/>
  <c r="K496" i="17"/>
  <c r="K155" i="17"/>
  <c r="K550" i="17" s="1"/>
  <c r="D154" i="17"/>
  <c r="F154" i="17" s="1"/>
  <c r="K154" i="17" s="1"/>
  <c r="F153" i="17"/>
  <c r="K153" i="17" s="1"/>
  <c r="D509" i="17"/>
  <c r="F509" i="17" s="1"/>
  <c r="K509" i="17" s="1"/>
  <c r="F508" i="17"/>
  <c r="K508" i="17" s="1"/>
  <c r="F273" i="17"/>
  <c r="K273" i="17" s="1"/>
  <c r="D274" i="17"/>
  <c r="F274" i="17" s="1"/>
  <c r="K274" i="17" s="1"/>
  <c r="J550" i="17"/>
  <c r="K495" i="17"/>
  <c r="F372" i="17"/>
  <c r="K372" i="17" s="1"/>
  <c r="D373" i="17"/>
  <c r="F373" i="17" s="1"/>
  <c r="K373" i="17" s="1"/>
  <c r="D232" i="17"/>
  <c r="F232" i="17" s="1"/>
  <c r="K232" i="17" s="1"/>
  <c r="F231" i="17"/>
  <c r="K231" i="17" s="1"/>
  <c r="H550" i="17"/>
  <c r="K558" i="17" s="1"/>
  <c r="F550" i="17" l="1"/>
  <c r="K551" i="17" s="1"/>
  <c r="K552" i="17" s="1"/>
  <c r="K553" i="17" l="1"/>
  <c r="K554" i="17" s="1"/>
  <c r="K555" i="17" l="1"/>
  <c r="K556" i="17" s="1"/>
  <c r="K557" i="17" s="1"/>
  <c r="K559" i="17" s="1"/>
  <c r="K560" i="17" s="1"/>
  <c r="K561" i="17" s="1"/>
  <c r="I5" i="17" l="1"/>
  <c r="D7" i="16"/>
  <c r="D12" i="16" s="1"/>
  <c r="D51" i="15"/>
  <c r="D58" i="15" s="1"/>
  <c r="F58" i="15" s="1"/>
  <c r="K58" i="15" s="1"/>
  <c r="F57" i="15"/>
  <c r="K57" i="15" s="1"/>
  <c r="D54" i="15"/>
  <c r="F54" i="15" s="1"/>
  <c r="K54" i="15" s="1"/>
  <c r="D50" i="15"/>
  <c r="F50" i="15" s="1"/>
  <c r="K50" i="15" s="1"/>
  <c r="F49" i="15"/>
  <c r="K49" i="15" s="1"/>
  <c r="D48" i="15"/>
  <c r="F48" i="15" s="1"/>
  <c r="K48" i="15" s="1"/>
  <c r="D47" i="15"/>
  <c r="F47" i="15" s="1"/>
  <c r="K47" i="15" s="1"/>
  <c r="D46" i="15"/>
  <c r="F46" i="15" s="1"/>
  <c r="K46" i="15" s="1"/>
  <c r="D45" i="15"/>
  <c r="F45" i="15" s="1"/>
  <c r="K45" i="15" s="1"/>
  <c r="J44" i="15"/>
  <c r="D43" i="15"/>
  <c r="F43" i="15" s="1"/>
  <c r="K43" i="15" s="1"/>
  <c r="D42" i="15"/>
  <c r="F42" i="15" s="1"/>
  <c r="K42" i="15" s="1"/>
  <c r="F41" i="15"/>
  <c r="K41" i="15" s="1"/>
  <c r="D40" i="15"/>
  <c r="F40" i="15" s="1"/>
  <c r="K40" i="15" s="1"/>
  <c r="D39" i="15"/>
  <c r="F39" i="15" s="1"/>
  <c r="K39" i="15" s="1"/>
  <c r="D38" i="15"/>
  <c r="F38" i="15" s="1"/>
  <c r="K38" i="15" s="1"/>
  <c r="D37" i="15"/>
  <c r="F37" i="15" s="1"/>
  <c r="K37" i="15" s="1"/>
  <c r="D36" i="15"/>
  <c r="F36" i="15" s="1"/>
  <c r="K36" i="15" s="1"/>
  <c r="J35" i="15"/>
  <c r="H35" i="15"/>
  <c r="D26" i="15"/>
  <c r="D33" i="15" s="1"/>
  <c r="F33" i="15" s="1"/>
  <c r="K33" i="15" s="1"/>
  <c r="F32" i="15"/>
  <c r="K32" i="15" s="1"/>
  <c r="J26" i="15"/>
  <c r="D25" i="15"/>
  <c r="F25" i="15" s="1"/>
  <c r="K25" i="15" s="1"/>
  <c r="F24" i="15"/>
  <c r="K24" i="15" s="1"/>
  <c r="D23" i="15"/>
  <c r="F23" i="15" s="1"/>
  <c r="K23" i="15" s="1"/>
  <c r="D22" i="15"/>
  <c r="F22" i="15" s="1"/>
  <c r="K22" i="15" s="1"/>
  <c r="D21" i="15"/>
  <c r="F21" i="15" s="1"/>
  <c r="K21" i="15" s="1"/>
  <c r="D20" i="15"/>
  <c r="F20" i="15" s="1"/>
  <c r="K20" i="15" s="1"/>
  <c r="J19" i="15"/>
  <c r="D18" i="15"/>
  <c r="F18" i="15" s="1"/>
  <c r="K18" i="15" s="1"/>
  <c r="D17" i="15"/>
  <c r="F17" i="15" s="1"/>
  <c r="K17" i="15" s="1"/>
  <c r="F16" i="15"/>
  <c r="K16" i="15" s="1"/>
  <c r="D15" i="15"/>
  <c r="F15" i="15" s="1"/>
  <c r="K15" i="15" s="1"/>
  <c r="D14" i="15"/>
  <c r="F14" i="15" s="1"/>
  <c r="K14" i="15" s="1"/>
  <c r="D13" i="15"/>
  <c r="F13" i="15" s="1"/>
  <c r="K13" i="15" s="1"/>
  <c r="D12" i="15"/>
  <c r="F12" i="15" s="1"/>
  <c r="K12" i="15" s="1"/>
  <c r="D11" i="15"/>
  <c r="F11" i="15" s="1"/>
  <c r="K11" i="15" s="1"/>
  <c r="J10" i="15"/>
  <c r="D59" i="14"/>
  <c r="F59" i="14" s="1"/>
  <c r="K59" i="14" s="1"/>
  <c r="D58" i="14"/>
  <c r="F58" i="14" s="1"/>
  <c r="K58" i="14" s="1"/>
  <c r="F57" i="14"/>
  <c r="K57" i="14" s="1"/>
  <c r="D56" i="14"/>
  <c r="F56" i="14" s="1"/>
  <c r="K56" i="14" s="1"/>
  <c r="D55" i="14"/>
  <c r="F55" i="14" s="1"/>
  <c r="K55" i="14" s="1"/>
  <c r="D54" i="14"/>
  <c r="F54" i="14" s="1"/>
  <c r="K54" i="14" s="1"/>
  <c r="D53" i="14"/>
  <c r="F53" i="14" s="1"/>
  <c r="K53" i="14" s="1"/>
  <c r="D52" i="14"/>
  <c r="F52" i="14" s="1"/>
  <c r="K52" i="14" s="1"/>
  <c r="J51" i="14"/>
  <c r="H51" i="14"/>
  <c r="H50" i="14"/>
  <c r="K50" i="14" s="1"/>
  <c r="D48" i="14"/>
  <c r="F48" i="14" s="1"/>
  <c r="K48" i="14" s="1"/>
  <c r="D47" i="14"/>
  <c r="F47" i="14" s="1"/>
  <c r="K47" i="14" s="1"/>
  <c r="F46" i="14"/>
  <c r="K46" i="14" s="1"/>
  <c r="D45" i="14"/>
  <c r="F45" i="14" s="1"/>
  <c r="K45" i="14" s="1"/>
  <c r="D44" i="14"/>
  <c r="F44" i="14" s="1"/>
  <c r="K44" i="14" s="1"/>
  <c r="D43" i="14"/>
  <c r="F43" i="14" s="1"/>
  <c r="K43" i="14" s="1"/>
  <c r="D42" i="14"/>
  <c r="F42" i="14" s="1"/>
  <c r="K42" i="14" s="1"/>
  <c r="D41" i="14"/>
  <c r="F41" i="14" s="1"/>
  <c r="K41" i="14" s="1"/>
  <c r="J40" i="14"/>
  <c r="H40" i="14"/>
  <c r="H31" i="14"/>
  <c r="J31" i="14"/>
  <c r="D39" i="14"/>
  <c r="F39" i="14" s="1"/>
  <c r="K39" i="14" s="1"/>
  <c r="D38" i="14"/>
  <c r="F38" i="14" s="1"/>
  <c r="K38" i="14" s="1"/>
  <c r="F37" i="14"/>
  <c r="K37" i="14" s="1"/>
  <c r="D36" i="14"/>
  <c r="F36" i="14" s="1"/>
  <c r="K36" i="14" s="1"/>
  <c r="D35" i="14"/>
  <c r="F35" i="14" s="1"/>
  <c r="K35" i="14" s="1"/>
  <c r="D34" i="14"/>
  <c r="F34" i="14" s="1"/>
  <c r="K34" i="14" s="1"/>
  <c r="D33" i="14"/>
  <c r="F33" i="14" s="1"/>
  <c r="K33" i="14" s="1"/>
  <c r="D32" i="14"/>
  <c r="F32" i="14" s="1"/>
  <c r="K32" i="14" s="1"/>
  <c r="D30" i="14"/>
  <c r="F30" i="14" s="1"/>
  <c r="K30" i="14" s="1"/>
  <c r="F29" i="14"/>
  <c r="K29" i="14" s="1"/>
  <c r="D28" i="14"/>
  <c r="F28" i="14" s="1"/>
  <c r="K28" i="14" s="1"/>
  <c r="D27" i="14"/>
  <c r="F27" i="14" s="1"/>
  <c r="K27" i="14" s="1"/>
  <c r="D26" i="14"/>
  <c r="F26" i="14" s="1"/>
  <c r="K26" i="14" s="1"/>
  <c r="D25" i="14"/>
  <c r="F25" i="14" s="1"/>
  <c r="K25" i="14" s="1"/>
  <c r="D24" i="14"/>
  <c r="F24" i="14" s="1"/>
  <c r="K24" i="14" s="1"/>
  <c r="J23" i="14"/>
  <c r="H23" i="14"/>
  <c r="D21" i="14"/>
  <c r="F21" i="14" s="1"/>
  <c r="K21" i="14" s="1"/>
  <c r="D20" i="14"/>
  <c r="F20" i="14" s="1"/>
  <c r="K20" i="14" s="1"/>
  <c r="J19" i="14"/>
  <c r="H19" i="14"/>
  <c r="D18" i="14"/>
  <c r="F18" i="14" s="1"/>
  <c r="K18" i="14" s="1"/>
  <c r="D17" i="14"/>
  <c r="F17" i="14" s="1"/>
  <c r="K17" i="14" s="1"/>
  <c r="F16" i="14"/>
  <c r="K16" i="14" s="1"/>
  <c r="D15" i="14"/>
  <c r="F15" i="14" s="1"/>
  <c r="K15" i="14" s="1"/>
  <c r="D14" i="14"/>
  <c r="F14" i="14" s="1"/>
  <c r="K14" i="14" s="1"/>
  <c r="D13" i="14"/>
  <c r="F13" i="14" s="1"/>
  <c r="K13" i="14" s="1"/>
  <c r="D12" i="14"/>
  <c r="F12" i="14" s="1"/>
  <c r="K12" i="14" s="1"/>
  <c r="D11" i="14"/>
  <c r="F11" i="14" s="1"/>
  <c r="K11" i="14" s="1"/>
  <c r="J10" i="14"/>
  <c r="J60" i="14" s="1"/>
  <c r="H10" i="14"/>
  <c r="H60" i="14" s="1"/>
  <c r="D79" i="11"/>
  <c r="F79" i="11" s="1"/>
  <c r="K79" i="11" s="1"/>
  <c r="D78" i="11"/>
  <c r="F78" i="11" s="1"/>
  <c r="K78" i="11" s="1"/>
  <c r="J77" i="11"/>
  <c r="H77" i="11"/>
  <c r="D76" i="11"/>
  <c r="F76" i="11" s="1"/>
  <c r="K76" i="11" s="1"/>
  <c r="D75" i="11"/>
  <c r="F75" i="11" s="1"/>
  <c r="K75" i="11" s="1"/>
  <c r="F74" i="11"/>
  <c r="K74" i="11" s="1"/>
  <c r="D73" i="11"/>
  <c r="F73" i="11" s="1"/>
  <c r="K73" i="11" s="1"/>
  <c r="D72" i="11"/>
  <c r="F72" i="11" s="1"/>
  <c r="K72" i="11" s="1"/>
  <c r="D71" i="11"/>
  <c r="F71" i="11" s="1"/>
  <c r="K71" i="11" s="1"/>
  <c r="D70" i="11"/>
  <c r="F70" i="11" s="1"/>
  <c r="K70" i="11" s="1"/>
  <c r="D69" i="11"/>
  <c r="F69" i="11" s="1"/>
  <c r="K69" i="11" s="1"/>
  <c r="J68" i="11"/>
  <c r="H68" i="11"/>
  <c r="D144" i="11"/>
  <c r="F144" i="11" s="1"/>
  <c r="K144" i="11" s="1"/>
  <c r="D143" i="11"/>
  <c r="F143" i="11" s="1"/>
  <c r="K143" i="11" s="1"/>
  <c r="F142" i="11"/>
  <c r="K142" i="11" s="1"/>
  <c r="D141" i="11"/>
  <c r="F141" i="11" s="1"/>
  <c r="K141" i="11" s="1"/>
  <c r="D140" i="11"/>
  <c r="F140" i="11" s="1"/>
  <c r="K140" i="11" s="1"/>
  <c r="D139" i="11"/>
  <c r="F139" i="11" s="1"/>
  <c r="K139" i="11" s="1"/>
  <c r="D138" i="11"/>
  <c r="F138" i="11" s="1"/>
  <c r="K138" i="11" s="1"/>
  <c r="D137" i="11"/>
  <c r="F137" i="11" s="1"/>
  <c r="K137" i="11" s="1"/>
  <c r="J136" i="11"/>
  <c r="H136" i="11"/>
  <c r="D135" i="11"/>
  <c r="F135" i="11" s="1"/>
  <c r="K135" i="11" s="1"/>
  <c r="D130" i="11"/>
  <c r="F130" i="11" s="1"/>
  <c r="K130" i="11" s="1"/>
  <c r="J129" i="11"/>
  <c r="H129" i="11"/>
  <c r="D124" i="11"/>
  <c r="F124" i="11" s="1"/>
  <c r="K124" i="11" s="1"/>
  <c r="D123" i="11"/>
  <c r="F123" i="11" s="1"/>
  <c r="K123" i="11" s="1"/>
  <c r="D122" i="11"/>
  <c r="F122" i="11" s="1"/>
  <c r="K122" i="11" s="1"/>
  <c r="J121" i="11"/>
  <c r="H121" i="11"/>
  <c r="D128" i="11"/>
  <c r="F128" i="11" s="1"/>
  <c r="K128" i="11" s="1"/>
  <c r="D127" i="11"/>
  <c r="F127" i="11" s="1"/>
  <c r="K127" i="11" s="1"/>
  <c r="D126" i="11"/>
  <c r="F126" i="11" s="1"/>
  <c r="J125" i="11"/>
  <c r="H125" i="11"/>
  <c r="J120" i="11"/>
  <c r="H120" i="11"/>
  <c r="H119" i="11"/>
  <c r="K119" i="11" s="1"/>
  <c r="J82" i="11"/>
  <c r="H81" i="11"/>
  <c r="K81" i="11" s="1"/>
  <c r="H82" i="11"/>
  <c r="D117" i="11"/>
  <c r="F117" i="11" s="1"/>
  <c r="K117" i="11" s="1"/>
  <c r="D116" i="11"/>
  <c r="F116" i="11" s="1"/>
  <c r="K116" i="11" s="1"/>
  <c r="F115" i="11"/>
  <c r="K115" i="11" s="1"/>
  <c r="D114" i="11"/>
  <c r="F114" i="11" s="1"/>
  <c r="K114" i="11" s="1"/>
  <c r="D113" i="11"/>
  <c r="F113" i="11" s="1"/>
  <c r="K113" i="11" s="1"/>
  <c r="D112" i="11"/>
  <c r="F112" i="11" s="1"/>
  <c r="K112" i="11" s="1"/>
  <c r="D111" i="11"/>
  <c r="F111" i="11" s="1"/>
  <c r="K111" i="11" s="1"/>
  <c r="D110" i="11"/>
  <c r="F110" i="11" s="1"/>
  <c r="K110" i="11" s="1"/>
  <c r="J109" i="11"/>
  <c r="H109" i="11"/>
  <c r="D105" i="11"/>
  <c r="F105" i="11" s="1"/>
  <c r="H104" i="11"/>
  <c r="D108" i="11"/>
  <c r="F108" i="11" s="1"/>
  <c r="K108" i="11" s="1"/>
  <c r="D107" i="11"/>
  <c r="F107" i="11" s="1"/>
  <c r="K107" i="11" s="1"/>
  <c r="D106" i="11"/>
  <c r="J106" i="11" s="1"/>
  <c r="J104" i="11"/>
  <c r="D103" i="11"/>
  <c r="F103" i="11" s="1"/>
  <c r="K103" i="11" s="1"/>
  <c r="D102" i="11"/>
  <c r="F102" i="11" s="1"/>
  <c r="K102" i="11" s="1"/>
  <c r="D101" i="11"/>
  <c r="F101" i="11" s="1"/>
  <c r="K101" i="11" s="1"/>
  <c r="D100" i="11"/>
  <c r="F100" i="11" s="1"/>
  <c r="D99" i="11"/>
  <c r="J99" i="11" s="1"/>
  <c r="J98" i="11"/>
  <c r="H98" i="11"/>
  <c r="D96" i="11"/>
  <c r="D95" i="11"/>
  <c r="D97" i="11"/>
  <c r="F97" i="11" s="1"/>
  <c r="K97" i="11" s="1"/>
  <c r="D93" i="11"/>
  <c r="F93" i="11" s="1"/>
  <c r="K93" i="11" s="1"/>
  <c r="D86" i="11"/>
  <c r="F86" i="11" s="1"/>
  <c r="K86" i="11" s="1"/>
  <c r="D85" i="11"/>
  <c r="F85" i="11" s="1"/>
  <c r="K85" i="11" s="1"/>
  <c r="D84" i="11"/>
  <c r="F84" i="11" s="1"/>
  <c r="J83" i="11"/>
  <c r="H83" i="11"/>
  <c r="J94" i="11"/>
  <c r="K68" i="11" l="1"/>
  <c r="J105" i="11"/>
  <c r="D27" i="15"/>
  <c r="F27" i="15" s="1"/>
  <c r="K27" i="15" s="1"/>
  <c r="D28" i="15"/>
  <c r="F28" i="15" s="1"/>
  <c r="K28" i="15" s="1"/>
  <c r="D29" i="15"/>
  <c r="F29" i="15" s="1"/>
  <c r="K29" i="15" s="1"/>
  <c r="D30" i="15"/>
  <c r="F30" i="15" s="1"/>
  <c r="K30" i="15" s="1"/>
  <c r="D31" i="15"/>
  <c r="F31" i="15" s="1"/>
  <c r="K31" i="15" s="1"/>
  <c r="F60" i="14"/>
  <c r="H10" i="15"/>
  <c r="D55" i="15"/>
  <c r="F55" i="15" s="1"/>
  <c r="K55" i="15" s="1"/>
  <c r="D56" i="15"/>
  <c r="F56" i="15" s="1"/>
  <c r="K56" i="15" s="1"/>
  <c r="J51" i="15"/>
  <c r="J59" i="15" s="1"/>
  <c r="K35" i="15"/>
  <c r="D53" i="15"/>
  <c r="F53" i="15" s="1"/>
  <c r="K53" i="15" s="1"/>
  <c r="D52" i="15"/>
  <c r="F52" i="15" s="1"/>
  <c r="K52" i="15" s="1"/>
  <c r="H26" i="15"/>
  <c r="K26" i="15" s="1"/>
  <c r="H19" i="15"/>
  <c r="K19" i="15" s="1"/>
  <c r="K31" i="14"/>
  <c r="K51" i="14"/>
  <c r="K40" i="14"/>
  <c r="K23" i="14"/>
  <c r="K60" i="14" s="1"/>
  <c r="K19" i="14"/>
  <c r="K10" i="14"/>
  <c r="K129" i="11"/>
  <c r="K77" i="11"/>
  <c r="K136" i="11"/>
  <c r="K125" i="11"/>
  <c r="K121" i="11"/>
  <c r="J100" i="11"/>
  <c r="K100" i="11" s="1"/>
  <c r="K82" i="11"/>
  <c r="J126" i="11"/>
  <c r="K126" i="11" s="1"/>
  <c r="K120" i="11"/>
  <c r="K109" i="11"/>
  <c r="F99" i="11"/>
  <c r="K99" i="11" s="1"/>
  <c r="K105" i="11"/>
  <c r="F106" i="11"/>
  <c r="K106" i="11" s="1"/>
  <c r="K104" i="11"/>
  <c r="K98" i="11"/>
  <c r="F95" i="11"/>
  <c r="K95" i="11" s="1"/>
  <c r="F96" i="11"/>
  <c r="K96" i="11" s="1"/>
  <c r="H94" i="11"/>
  <c r="K94" i="11" s="1"/>
  <c r="H87" i="11"/>
  <c r="D88" i="11"/>
  <c r="F88" i="11" s="1"/>
  <c r="K88" i="11" s="1"/>
  <c r="J87" i="11"/>
  <c r="J84" i="11"/>
  <c r="K84" i="11" s="1"/>
  <c r="K83" i="11"/>
  <c r="F59" i="15" l="1"/>
  <c r="K10" i="15"/>
  <c r="H51" i="15"/>
  <c r="K51" i="15" s="1"/>
  <c r="H44" i="15"/>
  <c r="K44" i="15" s="1"/>
  <c r="K87" i="11"/>
  <c r="H59" i="15" l="1"/>
  <c r="K59" i="15"/>
  <c r="D21" i="11"/>
  <c r="F21" i="11" s="1"/>
  <c r="K21" i="11" s="1"/>
  <c r="D22" i="11"/>
  <c r="F22" i="11" s="1"/>
  <c r="K22" i="11" s="1"/>
  <c r="D65" i="11"/>
  <c r="F65" i="11" s="1"/>
  <c r="K65" i="11" s="1"/>
  <c r="D64" i="11"/>
  <c r="F64" i="11" s="1"/>
  <c r="K64" i="11" s="1"/>
  <c r="F63" i="11"/>
  <c r="K63" i="11" s="1"/>
  <c r="D62" i="11"/>
  <c r="F62" i="11" s="1"/>
  <c r="K62" i="11" s="1"/>
  <c r="D61" i="11"/>
  <c r="F61" i="11" s="1"/>
  <c r="K61" i="11" s="1"/>
  <c r="D60" i="11"/>
  <c r="F60" i="11" s="1"/>
  <c r="K60" i="11" s="1"/>
  <c r="D59" i="11"/>
  <c r="F59" i="11" s="1"/>
  <c r="K59" i="11" s="1"/>
  <c r="D58" i="11"/>
  <c r="F58" i="11" s="1"/>
  <c r="K58" i="11" s="1"/>
  <c r="J57" i="11"/>
  <c r="H57" i="11"/>
  <c r="D54" i="11"/>
  <c r="D56" i="11" s="1"/>
  <c r="F56" i="11" s="1"/>
  <c r="K56" i="11" s="1"/>
  <c r="H44" i="11"/>
  <c r="D52" i="11"/>
  <c r="D51" i="11"/>
  <c r="D49" i="11"/>
  <c r="D48" i="11"/>
  <c r="D47" i="11"/>
  <c r="D46" i="11"/>
  <c r="D45" i="11"/>
  <c r="F45" i="11" s="1"/>
  <c r="K45" i="11" s="1"/>
  <c r="J44" i="11"/>
  <c r="F48" i="11" l="1"/>
  <c r="K48" i="11" s="1"/>
  <c r="F49" i="11"/>
  <c r="K49" i="11" s="1"/>
  <c r="F51" i="11"/>
  <c r="K51" i="11" s="1"/>
  <c r="F47" i="11"/>
  <c r="K47" i="11" s="1"/>
  <c r="F50" i="11"/>
  <c r="K50" i="11" s="1"/>
  <c r="K44" i="11"/>
  <c r="K52" i="11"/>
  <c r="F52" i="11"/>
  <c r="F46" i="11"/>
  <c r="K46" i="11" s="1"/>
  <c r="H54" i="11"/>
  <c r="K54" i="11" s="1"/>
  <c r="K57" i="11"/>
  <c r="D55" i="11"/>
  <c r="F55" i="11" s="1"/>
  <c r="K55" i="11" s="1"/>
  <c r="D40" i="11" l="1"/>
  <c r="D41" i="11" l="1"/>
  <c r="F41" i="11" s="1"/>
  <c r="K41" i="11" s="1"/>
  <c r="J40" i="11"/>
  <c r="H40" i="11"/>
  <c r="D42" i="11"/>
  <c r="F42" i="11" s="1"/>
  <c r="K42" i="11" s="1"/>
  <c r="D39" i="11"/>
  <c r="F39" i="11" s="1"/>
  <c r="K39" i="11" s="1"/>
  <c r="F38" i="11"/>
  <c r="K38" i="11" s="1"/>
  <c r="D37" i="11"/>
  <c r="F37" i="11" s="1"/>
  <c r="K37" i="11" s="1"/>
  <c r="D36" i="11"/>
  <c r="D35" i="11"/>
  <c r="F35" i="11" s="1"/>
  <c r="K35" i="11" s="1"/>
  <c r="D34" i="11"/>
  <c r="F34" i="11" s="1"/>
  <c r="K34" i="11" s="1"/>
  <c r="D33" i="11"/>
  <c r="F33" i="11" s="1"/>
  <c r="K33" i="11" s="1"/>
  <c r="J32" i="11"/>
  <c r="H32" i="11"/>
  <c r="K40" i="11" l="1"/>
  <c r="F36" i="11"/>
  <c r="K36" i="11" s="1"/>
  <c r="D43" i="11"/>
  <c r="K32" i="11"/>
  <c r="F43" i="11" l="1"/>
  <c r="K43" i="11" s="1"/>
  <c r="D31" i="11"/>
  <c r="D26" i="11"/>
  <c r="F27" i="11" l="1"/>
  <c r="K27" i="11" s="1"/>
  <c r="F28" i="11"/>
  <c r="K28" i="11" s="1"/>
  <c r="F29" i="11"/>
  <c r="K29" i="11" s="1"/>
  <c r="F30" i="11"/>
  <c r="K30" i="11" s="1"/>
  <c r="F31" i="11"/>
  <c r="K31" i="11" s="1"/>
  <c r="J25" i="11"/>
  <c r="H25" i="11"/>
  <c r="F26" i="11"/>
  <c r="K26" i="11" s="1"/>
  <c r="K25" i="11" l="1"/>
  <c r="H24" i="11"/>
  <c r="K24" i="11" s="1"/>
  <c r="H19" i="10" l="1"/>
  <c r="J19" i="10"/>
  <c r="J10" i="10"/>
  <c r="J26" i="10"/>
  <c r="H10" i="10"/>
  <c r="F31" i="10"/>
  <c r="K31" i="10" s="1"/>
  <c r="F32" i="10"/>
  <c r="K32" i="10" s="1"/>
  <c r="D31" i="10"/>
  <c r="D25" i="10"/>
  <c r="F25" i="10" s="1"/>
  <c r="K25" i="10" s="1"/>
  <c r="F24" i="10"/>
  <c r="K24" i="10" s="1"/>
  <c r="D23" i="10"/>
  <c r="F23" i="10" s="1"/>
  <c r="K23" i="10" s="1"/>
  <c r="D22" i="10"/>
  <c r="F22" i="10" s="1"/>
  <c r="K22" i="10" s="1"/>
  <c r="D21" i="10"/>
  <c r="F21" i="10" s="1"/>
  <c r="K21" i="10" s="1"/>
  <c r="D20" i="10"/>
  <c r="F20" i="10" s="1"/>
  <c r="K20" i="10" s="1"/>
  <c r="D18" i="10"/>
  <c r="F18" i="10" s="1"/>
  <c r="K18" i="10" s="1"/>
  <c r="D17" i="10"/>
  <c r="F17" i="10" s="1"/>
  <c r="K17" i="10" s="1"/>
  <c r="F16" i="10"/>
  <c r="K16" i="10" s="1"/>
  <c r="D15" i="10"/>
  <c r="F15" i="10" s="1"/>
  <c r="K15" i="10" s="1"/>
  <c r="D14" i="10"/>
  <c r="F14" i="10" s="1"/>
  <c r="K14" i="10" s="1"/>
  <c r="D13" i="10"/>
  <c r="F13" i="10" s="1"/>
  <c r="K13" i="10" s="1"/>
  <c r="D12" i="10"/>
  <c r="F12" i="10" s="1"/>
  <c r="K12" i="10" s="1"/>
  <c r="D11" i="10"/>
  <c r="F11" i="10" s="1"/>
  <c r="K10" i="10" l="1"/>
  <c r="K19" i="10"/>
  <c r="K11" i="10"/>
  <c r="J34" i="10"/>
  <c r="D30" i="10"/>
  <c r="F30" i="10" s="1"/>
  <c r="K30" i="10" s="1"/>
  <c r="D29" i="10"/>
  <c r="F29" i="10" s="1"/>
  <c r="K29" i="10" s="1"/>
  <c r="D33" i="10"/>
  <c r="F33" i="10" s="1"/>
  <c r="K33" i="10" s="1"/>
  <c r="D28" i="10"/>
  <c r="F28" i="10" s="1"/>
  <c r="K28" i="10" s="1"/>
  <c r="D27" i="10"/>
  <c r="F27" i="10" s="1"/>
  <c r="K27" i="10" s="1"/>
  <c r="F34" i="10" l="1"/>
  <c r="H26" i="10"/>
  <c r="K26" i="10" l="1"/>
  <c r="H34" i="10"/>
  <c r="K34" i="10" l="1"/>
  <c r="F17" i="11" l="1"/>
  <c r="K17" i="11" s="1"/>
  <c r="J20" i="11" l="1"/>
  <c r="H20" i="11"/>
  <c r="K20" i="11" l="1"/>
  <c r="D19" i="11" l="1"/>
  <c r="F19" i="11" s="1"/>
  <c r="K19" i="11" s="1"/>
  <c r="D18" i="11"/>
  <c r="F18" i="11" s="1"/>
  <c r="K18" i="11" s="1"/>
  <c r="D16" i="11"/>
  <c r="F16" i="11" s="1"/>
  <c r="K16" i="11" s="1"/>
  <c r="D15" i="11"/>
  <c r="F15" i="11" s="1"/>
  <c r="D14" i="11"/>
  <c r="F14" i="11" s="1"/>
  <c r="K14" i="11" s="1"/>
  <c r="D13" i="11"/>
  <c r="F13" i="11" s="1"/>
  <c r="K13" i="11" s="1"/>
  <c r="D12" i="11"/>
  <c r="F12" i="11" s="1"/>
  <c r="K12" i="11" s="1"/>
  <c r="J11" i="11"/>
  <c r="J145" i="11" s="1"/>
  <c r="H11" i="11"/>
  <c r="H145" i="11" s="1"/>
  <c r="K15" i="11" l="1"/>
  <c r="F145" i="11"/>
  <c r="K11" i="11"/>
  <c r="K145" i="11" l="1"/>
  <c r="K60" i="15"/>
  <c r="K67" i="15"/>
  <c r="K61" i="14"/>
  <c r="K68" i="14"/>
  <c r="K62" i="14" l="1"/>
  <c r="K63" i="14" s="1"/>
  <c r="K64" i="14" s="1"/>
  <c r="K61" i="15"/>
  <c r="K62" i="15" s="1"/>
  <c r="K63" i="15" s="1"/>
  <c r="K64" i="15" l="1"/>
  <c r="K65" i="15" s="1"/>
  <c r="K66" i="15" s="1"/>
  <c r="K68" i="15" s="1"/>
  <c r="K69" i="15" s="1"/>
  <c r="K70" i="15" s="1"/>
  <c r="D11" i="16" s="1"/>
  <c r="K65" i="14"/>
  <c r="K66" i="14" s="1"/>
  <c r="K67" i="14" s="1"/>
  <c r="K69" i="14" s="1"/>
  <c r="K70" i="14" s="1"/>
  <c r="K71" i="14" s="1"/>
  <c r="D10" i="16" s="1"/>
  <c r="I5" i="14" l="1"/>
  <c r="I5" i="15"/>
  <c r="K146" i="11" l="1"/>
  <c r="K153" i="11"/>
  <c r="K147" i="11" l="1"/>
  <c r="K148" i="11" s="1"/>
  <c r="K149" i="11" s="1"/>
  <c r="K35" i="10"/>
  <c r="K42" i="10"/>
  <c r="K150" i="11" l="1"/>
  <c r="K151" i="11" s="1"/>
  <c r="K152" i="11" s="1"/>
  <c r="K154" i="11" s="1"/>
  <c r="K155" i="11" s="1"/>
  <c r="K156" i="11" s="1"/>
  <c r="D9" i="16" s="1"/>
  <c r="K36" i="10"/>
  <c r="I5" i="11" l="1"/>
  <c r="K37" i="10"/>
  <c r="K38" i="10" s="1"/>
  <c r="K39" i="10" l="1"/>
  <c r="K40" i="10" s="1"/>
  <c r="K41" i="10" s="1"/>
  <c r="K43" i="10" s="1"/>
  <c r="K44" i="10" s="1"/>
  <c r="K45" i="10" s="1"/>
  <c r="I5" i="10" l="1"/>
  <c r="D8" i="16"/>
</calcChain>
</file>

<file path=xl/sharedStrings.xml><?xml version="1.0" encoding="utf-8"?>
<sst xmlns="http://schemas.openxmlformats.org/spreadsheetml/2006/main" count="1787" uniqueCount="374">
  <si>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</si>
  <si>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</si>
  <si>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</si>
  <si>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</si>
  <si>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</si>
  <si>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</si>
  <si>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</si>
  <si>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</si>
  <si>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</si>
  <si>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მ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</si>
  <si>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</si>
  <si>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</si>
  <si>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</si>
  <si>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</si>
  <si>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</si>
  <si>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</si>
  <si>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</si>
  <si>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</si>
  <si>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</si>
  <si>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</si>
  <si>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</si>
  <si>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t>კომპლ</t>
  </si>
  <si>
    <t>სახარჯთაღრიცხვო  ღირ-ბა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</si>
  <si>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</si>
  <si>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</si>
  <si>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ამომრთველი1 კლავიშიანი 6 ა, 220ვ  მონტაჟი</t>
  </si>
  <si>
    <t>სხვა მასალები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</si>
  <si>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</si>
  <si>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მ³</t>
  </si>
  <si>
    <t>ტნ</t>
  </si>
  <si>
    <t>სანტექნიკური სამუშაოები</t>
  </si>
  <si>
    <t>25</t>
  </si>
  <si>
    <t>2</t>
  </si>
  <si>
    <t>3</t>
  </si>
  <si>
    <t>4</t>
  </si>
  <si>
    <t>7</t>
  </si>
  <si>
    <t>სამშენებლო სამუშაოები</t>
  </si>
  <si>
    <t>V სართული</t>
  </si>
  <si>
    <t>კომპ</t>
  </si>
  <si>
    <t xml:space="preserve">ფითხი    </t>
  </si>
  <si>
    <t xml:space="preserve">გრუნტი </t>
  </si>
  <si>
    <t xml:space="preserve">ზუმფარა     </t>
  </si>
  <si>
    <t xml:space="preserve">სამღებრო ბადე ლენტა </t>
  </si>
  <si>
    <t xml:space="preserve">სამღებრო კუთხოვანა  </t>
  </si>
  <si>
    <t xml:space="preserve">სხვა მასალები </t>
  </si>
  <si>
    <t xml:space="preserve">ფითხი   </t>
  </si>
  <si>
    <t xml:space="preserve">სამღებრო ბადე ლენტა  </t>
  </si>
  <si>
    <t xml:space="preserve">ქვიშა                 </t>
  </si>
  <si>
    <t xml:space="preserve">ცემენტი  M400        </t>
  </si>
  <si>
    <t>კრებსითი</t>
  </si>
  <si>
    <t>ხარჯ-ის №</t>
  </si>
  <si>
    <t>ღირებულება</t>
  </si>
  <si>
    <t>დასახელება</t>
  </si>
  <si>
    <t>№1</t>
  </si>
  <si>
    <t>№2</t>
  </si>
  <si>
    <t>№3</t>
  </si>
  <si>
    <t>№4</t>
  </si>
  <si>
    <t>№5</t>
  </si>
  <si>
    <r>
      <t xml:space="preserve">წებოცემენტი      </t>
    </r>
    <r>
      <rPr>
        <sz val="10"/>
        <color rgb="FFFF0000"/>
        <rFont val="Sylfaen"/>
        <family val="1"/>
        <charset val="204"/>
      </rPr>
      <t xml:space="preserve"> </t>
    </r>
  </si>
  <si>
    <t>თვითსწორებადი იატაკის ფხვნილი</t>
  </si>
  <si>
    <t>გრუნტი (თვითსწორებდზე)</t>
  </si>
  <si>
    <t xml:space="preserve">იატაკის დამუშავება თვითგამასწორებელი ხსნარით   </t>
  </si>
  <si>
    <t>6</t>
  </si>
  <si>
    <r>
      <t xml:space="preserve">ვინილი    ანტისტატიკური ანტიბაქტერიული   </t>
    </r>
    <r>
      <rPr>
        <sz val="10"/>
        <color rgb="FFFF0000"/>
        <rFont val="Sylfaen"/>
        <family val="1"/>
        <charset val="204"/>
      </rPr>
      <t/>
    </r>
  </si>
  <si>
    <t>საიზოლაციო მასალა  ქვაბამბა 50 მმ</t>
  </si>
  <si>
    <t xml:space="preserve">საღებავის გრუნტი, </t>
  </si>
  <si>
    <t xml:space="preserve">სხვა მასალები   </t>
  </si>
  <si>
    <t>სამონტაჟო მაკომპლექტებელი პლასტმასის</t>
  </si>
  <si>
    <t>კედლებზე ძველი საღებავის გაფხეკა, დამუშავება და შეღებვა სილიკონური რეცხვადი ანტიბაქტერიული საღებავით</t>
  </si>
  <si>
    <t>სამღებრო  წებვადი ლენტი (ქაღალდის სკოჩი)  50.0მ</t>
  </si>
  <si>
    <r>
      <t xml:space="preserve">ქ. ბათუმი,  ბაგრატიონის ქ N 152.    </t>
    </r>
    <r>
      <rPr>
        <b/>
        <sz val="11"/>
        <color theme="1"/>
        <rFont val="Sylfaen"/>
        <family val="1"/>
        <charset val="204"/>
      </rPr>
      <t xml:space="preserve"> </t>
    </r>
    <r>
      <rPr>
        <sz val="11"/>
        <color theme="1"/>
        <rFont val="Sylfaen"/>
        <family val="1"/>
        <charset val="204"/>
      </rPr>
      <t>ბათუმის რეფერალური საავადმყოფო</t>
    </r>
  </si>
  <si>
    <t>საევაკუაციო კიბის უჯრედები</t>
  </si>
  <si>
    <t>V სართული  (კორიდორები, ფოიე, საოპერაციოები, რეანიმაცია, სტერილიზაცია)</t>
  </si>
  <si>
    <t>ქ. ბათუმი,  ბაგრატიონის ქ N 152.     ბათუმის რეფერალური საავადმყოფო</t>
  </si>
  <si>
    <r>
      <t>ქ. ბათუმი,  ბაგრატიონის ქ N 152.     ბათუმის რეფერალური საავადმყოფო</t>
    </r>
    <r>
      <rPr>
        <b/>
        <sz val="11"/>
        <color theme="1"/>
        <rFont val="Sylfaen"/>
        <family val="1"/>
        <charset val="204"/>
      </rPr>
      <t xml:space="preserve"> </t>
    </r>
  </si>
  <si>
    <t xml:space="preserve">ქ. ბათუმი,  ბაგრატიონის ქ N 152.     ბათუმის რეფერალური საავადმყოფო </t>
  </si>
  <si>
    <r>
      <t>ბათუმის რეფერალური საავადმყოფო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№5                                                                                       </t>
    </r>
  </si>
  <si>
    <r>
      <t>ბათუმის რეფერალური საავადმყოფო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№4                                                                                       </t>
    </r>
  </si>
  <si>
    <r>
      <t>ბათუმის რეფერალური საავადმყოფო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№3                                                                                       </t>
    </r>
  </si>
  <si>
    <r>
      <t>ბათუმის რეფერალური საავადმყოფო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№2                                                                                       </t>
    </r>
  </si>
  <si>
    <t>საევაკუაციო კიბის უჯრედები  (2 ერთეული)</t>
  </si>
  <si>
    <t xml:space="preserve">ბათუმის რეფერალური საავადმყოფო შენობაში ჩასატარებელი  სამუშაოების ხარჯთაღრიცხვა  </t>
  </si>
  <si>
    <t>სხვა მასალა</t>
  </si>
  <si>
    <r>
      <t>მ</t>
    </r>
    <r>
      <rPr>
        <sz val="10"/>
        <color theme="1"/>
        <rFont val="Calibri"/>
        <family val="2"/>
        <charset val="204"/>
      </rPr>
      <t>²</t>
    </r>
  </si>
  <si>
    <t>ელ სამონტაჟო სამუშაოები</t>
  </si>
  <si>
    <t>არმსტრონგის ლედ სანათის მონტაჟი   (3 ცალი არსებული)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</si>
  <si>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</si>
  <si>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შტეფსელური როზეტი დამიწების კონტურით 10 ა, 230ვ</t>
  </si>
  <si>
    <t>ავტომატური ამომრთველი 63 ამპ</t>
  </si>
  <si>
    <t>1. III  სართული</t>
  </si>
  <si>
    <t>კედელზე დაზიანებული ანტისტატიკური ვინილის ფენის ამოჭრა და კედლის გასუფთავება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</si>
  <si>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</si>
  <si>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</si>
  <si>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</si>
  <si>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</si>
  <si>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>ამოჭრილ ადგილზე ანტისტატიკური ვინილის ფენის გაკვრა</t>
  </si>
  <si>
    <t>ვინილი ანტისტატიკური, ანტიბაქტერიული</t>
  </si>
  <si>
    <t>საოპერაციო ბლოკში  ჭერზე ძველი საღებავის გაფხეკა, დამუშავება და შეღებვა სილიკონური რეცხვადი ანტიბაქტერიული საღებავით</t>
  </si>
  <si>
    <t xml:space="preserve">სილიკონური რეცხვადი ანტიბაქტერიული საღებავი </t>
  </si>
  <si>
    <t xml:space="preserve">სხვა მასალები  </t>
  </si>
  <si>
    <t xml:space="preserve">ანტიბაქტერიული საღებავი   </t>
  </si>
  <si>
    <t>საოპერაციოში შესასვლელი ლითონის კარის ბლოკის (1.3x2.15)მ დამუშავება და შეღებვა ანტიბაქტერიული ზეთოვანი საღებავით</t>
  </si>
  <si>
    <t xml:space="preserve">ზუმფარა    </t>
  </si>
  <si>
    <t>წინასაოპერაციოში  კედლებზე ძველი საღებავის გაფხეკა, დამუშავება და შეღებვა სილიკონური რეცხვადი ანტიბაქტერიული საღებავით</t>
  </si>
  <si>
    <t>საწოლებთან, პანელების ქვეშ კედლებზე  ლამინირებული დსპ-ს ფილების გაკვრა  (1.2x1.6)მ - 11ცალი</t>
  </si>
  <si>
    <t xml:space="preserve">ლამინირებული "დსპ"   18 მმ </t>
  </si>
  <si>
    <r>
      <t>კარდიო ინტენსიურ პალატაში  კედლებზე (6.0 მ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Sylfaen"/>
        <family val="1"/>
      </rPr>
      <t>) და ოპერაციისშემდგომ და კარდიო დიდ პალატაში კედლებზე 1.2მ-ის ქვემოთ ძველი საღებავის გაფხეკა, დამუშავება და შეღებვა სილიკონური რეცხვადი ანტიბაქტერიული საღებავით</t>
    </r>
  </si>
  <si>
    <t>კარდიო ინტენსიური  და ოპერაციის შემდგომი პალატები</t>
  </si>
  <si>
    <t xml:space="preserve">კორიდორები და ფოიე </t>
  </si>
  <si>
    <t>კორიდორებში და ფოიეში კედლების კუთხეებზე ლამინირებული დსპ-ს  დამცავი (20სმ) ზოლების მოწყობა მოწყობა, დაზიანებულების შეცვლა</t>
  </si>
  <si>
    <t>ნევროლოგიის ინტენსიური პალატა</t>
  </si>
  <si>
    <t xml:space="preserve">იატაკზე დაზიანებული ვინილის საფარის მოხსნა (ამოჭრა) და იატაკის გასუფთავება </t>
  </si>
  <si>
    <t>5</t>
  </si>
  <si>
    <t xml:space="preserve">იატაკზე 5 სმ მჭიმის მოხსნა  </t>
  </si>
  <si>
    <t>ანტისტატიკური ანტიბაქტერიული ვინილის  საფარის  ჩაკერება პლინტუსით  (6.8x0.44)ზოლზე</t>
  </si>
  <si>
    <t>ქვიშა-ცემენტის მჭიმის მოწყობა იატაკებზე სისქე 4სმ მარკით M100</t>
  </si>
  <si>
    <t xml:space="preserve">კერამოგრანიტის ფილა      </t>
  </si>
  <si>
    <t xml:space="preserve">ფუგა   </t>
  </si>
  <si>
    <t>იატაკზე კერამოგრანიტის ფილების დაგება</t>
  </si>
  <si>
    <t xml:space="preserve">კერამოგრანიტის 8 სმ პლინტუსის მოწყობა </t>
  </si>
  <si>
    <t>ინტენსიური თერაპიის პალატა</t>
  </si>
  <si>
    <t>იატაკზე დაზიანებული ვინილის საფარის მოხსნა (ამოჭრა) და იატაკის გასუფთავება  (6.8x0.44)ზოლზე</t>
  </si>
  <si>
    <t>კედლებზე დაზიანებულ ადგილზე ძველი საღებავის გაფხეკა, დამუშავება და შეღებვა სილიკონური რეცხვადი ანტიბაქტერიული საღებავით</t>
  </si>
  <si>
    <t>საოპერაციო ბლოკებში  ჭერზე ძველი საღებავის გაფხეკა, დამუშავება და შეღებვა სილიკონური რეცხვადი ანტიბაქტერიული საღებავით</t>
  </si>
  <si>
    <t>საოპერაციო ბლოკები</t>
  </si>
  <si>
    <t>საოპერაციო ბლოკი</t>
  </si>
  <si>
    <t xml:space="preserve">წინასაოპერაციო მოსამზადებელ ოთახებში კედლებზე ძველი საღებავის გაფხეკა, დამუშავება და შეღებვა სილიკონური რეცხვადი ანტიბაქტერიული საღებავით </t>
  </si>
  <si>
    <t>რეანიმაცია</t>
  </si>
  <si>
    <t>რეანიმაციაში კედელზე დაზიანებული ანტისტატიკური ვინილის ფენის ამოჭრა და კედლის გასუფთავება</t>
  </si>
  <si>
    <t xml:space="preserve">კედლის დამუშავება და შეღებვა სილიკონური რეცხვადი ანტიბაქტერიული საღებავით </t>
  </si>
  <si>
    <t>1. საევაკუაციო კიბის უჯრედი 5 სართულიან ფლიგელში</t>
  </si>
  <si>
    <t>2. საევაკუაციო კიბის უჯრედი 4 სართულიან ფლიგელში</t>
  </si>
  <si>
    <r>
      <t>მ</t>
    </r>
    <r>
      <rPr>
        <b/>
        <sz val="10"/>
        <color theme="1"/>
        <rFont val="Cambria"/>
        <family val="1"/>
        <charset val="204"/>
      </rPr>
      <t>³</t>
    </r>
  </si>
  <si>
    <t xml:space="preserve">ღიობების გამაგრება ლითონის კუთხოვანებით მოჩარჩოება </t>
  </si>
  <si>
    <t>ელექტროდი</t>
  </si>
  <si>
    <t>ბეტონის 10 სმ ფილის მონგრევა</t>
  </si>
  <si>
    <t>ღორღი</t>
  </si>
  <si>
    <t xml:space="preserve">საჩეხის ქვეშ გრუნტის მოსწორება, ღორღის 10 სმ ფენის მოწყობა </t>
  </si>
  <si>
    <t>საჩეხის ქვეშ  10 სმ სისქის ბეტონის ბაქნის მოწყობა</t>
  </si>
  <si>
    <t>საჩეხის ქვეშ მეთლახის  ფილების დაგება</t>
  </si>
  <si>
    <t xml:space="preserve">ყინვაგამძლე მეთლახის  ფილა      </t>
  </si>
  <si>
    <t>მეტალოპლასტმასის კარის ბლოკის მონტაჟი სან კვანძში (0.9X2.15)მ</t>
  </si>
  <si>
    <t>თაბაშირ მუყაოს ტიხრიების დემონტაჟი ლითონის კარკასის დაშლით</t>
  </si>
  <si>
    <t xml:space="preserve">თაბ.მუყ. ფილა  ჩვეულებრივი სისქე 12.5მმ    </t>
  </si>
  <si>
    <t xml:space="preserve">თაბ.მუყ. ნესტგამძლე სისქე 12.5მმ                           </t>
  </si>
  <si>
    <t>თ/მუყაოს ლითონის UV და CVპროფილი და სხვა მასალები 1მ² შეფუთვაზე</t>
  </si>
  <si>
    <t xml:space="preserve">კომბინირებული თაბაშირ მუყაოს ტიხრის მოწყობა იზოლაციით სან/კვანძისათვის </t>
  </si>
  <si>
    <t>თაბაშირ მუყაოს ტიხარში (0.9X2.15)მ ღიობის ამოჭრა</t>
  </si>
  <si>
    <t>პოლიეთილენის ცივი წყლის მილის მონტაჟი SDR11 PN 16 Ø20</t>
  </si>
  <si>
    <t xml:space="preserve"> Ø20 მმ არკო ვენტილი გადამყვანით</t>
  </si>
  <si>
    <t>გადამყვანი "ამერიკანკა"</t>
  </si>
  <si>
    <t>ფასონური დეტალები</t>
  </si>
  <si>
    <t>პლასტმასის დ50 მმ კანალიზაციის მილის მონტაჟი</t>
  </si>
  <si>
    <t>პლასტმასის დ 100 მმ კანალიზაციის მილის მონტაჟი</t>
  </si>
  <si>
    <t>არმსტრონგის ჭერის ნესტგამძლე ფილები</t>
  </si>
  <si>
    <t xml:space="preserve">კაფელის მოწყობა კედლებზე </t>
  </si>
  <si>
    <t xml:space="preserve">წებოცემენტი   </t>
  </si>
  <si>
    <t>ფუგა     0.04</t>
  </si>
  <si>
    <t>ფილების სამონტაჟო დეტალები პლასტიკატის</t>
  </si>
  <si>
    <t>იატაკზე მეთლახის  ფილების დაგება სან/კვანძში</t>
  </si>
  <si>
    <t xml:space="preserve">მეთლახისს ფილა      </t>
  </si>
  <si>
    <t>იატაკზე კერამოგრანიტის ფილების დაგება მილგაყვანილობის მოწყობის შემდეგ (არსებულთან შეხამებით)</t>
  </si>
  <si>
    <t xml:space="preserve">ჭერის  პროფილები, კუთხოვანა პერიმეტრის, საკიდი, დუბელი  და სხვა დეტალებით </t>
  </si>
  <si>
    <t>პლასტიკატის  ჭერის ფილები</t>
  </si>
  <si>
    <t xml:space="preserve">არმსტრონგის შეკიდული ჭერის მოწყობა ბილინგისა და მისაღებ ოთახებში </t>
  </si>
  <si>
    <t>შესასვლელ ორფრთიან კართან არსებული ელ. თბური ფარდის დემონტაჟი გადატანა და მონტაჟი</t>
  </si>
  <si>
    <t>ცალ</t>
  </si>
  <si>
    <t xml:space="preserve"> LED სანათი დიოდური დაცვით   (1X12) vt, 220v,  IP 31 დაცვით შეკიდულ ჭერში ჩაფლული დ=17სმ  (სან/კვანძისათვის)</t>
  </si>
  <si>
    <t>სხვა დამხმარე მასალები</t>
  </si>
  <si>
    <t>თაბაშირ მუყაოს ტიხრის მოწყობა იზოლაციით</t>
  </si>
  <si>
    <t>ტრაპის მონტაჟი დ50მმ</t>
  </si>
  <si>
    <t>პანელური (900X600)მმ რადიატორის დემონტაჟი სან/კვანძის მოსაწყობ ადგილიდან, გადატანა და მონტაჟი</t>
  </si>
  <si>
    <t xml:space="preserve">არმსტრონგის ჭერის  კარკასი დეტალებით, საკიდებით და სხვა </t>
  </si>
  <si>
    <t xml:space="preserve">სან/კვანძში პლასტიკატის შეკიდული ჭერის მოწყობა </t>
  </si>
  <si>
    <t>სასწრაფოს შესასვლელის ორფრთიანი კარის ბლოკის დამუშავება და შეღებვა ემალის საღებავით</t>
  </si>
  <si>
    <t>გამხსნელი საღებავის</t>
  </si>
  <si>
    <t>საღებავი ემალის მაღალი ხარისხის</t>
  </si>
  <si>
    <t xml:space="preserve">დ=150 მმ გამწოვი ვენტილატორის მონტაჟი </t>
  </si>
  <si>
    <t>შესაფუთი კაუჩუკის თბოიზოლაციის მილი დ20მმ მილისათვის</t>
  </si>
  <si>
    <t>კერამოგრანიტის იატაკის საფარის მოხსნა 5სმ მჭიმთან ერთად სან/კვანძის მოსაწყობ ადგილზე და მილგაყვანილობისათვის 4.0მ ღარის გაჭრა ბეტონის იატაკის ფილაში</t>
  </si>
  <si>
    <t xml:space="preserve">ანტისტატიკური ანტიბაქტერიული ვინილის  საფარის  მოწყობა  </t>
  </si>
  <si>
    <t>დამხმარე სათავსოში თ/მუყაოს ტიხრის დემონტაჟი</t>
  </si>
  <si>
    <t xml:space="preserve">ტიხარში ამოჭრილ ღიობში  მდფ-ის კარის ბლოკის მონტაჟი (0.9X2.15)მ </t>
  </si>
  <si>
    <t xml:space="preserve">არმსტრონგის ლედ სანათის მონტაჟი   </t>
  </si>
  <si>
    <t>არსებული არხული ფანკოილის დემონტაჟი გადატანა 3მ მანძილზე და დამონტაჟება  მილგაყვანილობის დაგრძელებით</t>
  </si>
  <si>
    <t>საშხაპე ქვედისა და შხაპის მონტაჟი</t>
  </si>
  <si>
    <t>უნიტაზი ჩამრეცხი ავზით, დრეკადი შლანგით, გოფრირებული დ100მმ მილით</t>
  </si>
  <si>
    <t>ელ. სამონტაჟო სამუშაოები</t>
  </si>
  <si>
    <t>სანტექნიკური  სამუშაოები</t>
  </si>
  <si>
    <t>არმსტრონგის ლედ სანათის მონტაჟი  600X600 მმ 72W,  6700lm, ექსპლუატაციის ხანგრძლივობა 50000 საათი, ალუმინის (ჩარჩო)  IP44 კლასი</t>
  </si>
  <si>
    <t xml:space="preserve"> LED სანათის მონტაჟი დიოდური დაცვით   (1X12) vt, 220v,  IP 31 დაცვით შეკიდულ ჭერში ჩაფლული დ=17სმ  (სან/კვანძისათვის)</t>
  </si>
  <si>
    <t>უნიტაზების დემონტაჟი  მილგაყვანილობის ჩაჭრით და დახშობით</t>
  </si>
  <si>
    <t>შხაპების დემონტაჟი მილგაყვანილობის ჩაჭრით და დახშობით</t>
  </si>
  <si>
    <t>არსებული სან/კვანძებში სელსაბანების დემონტაჟი მილგაყვანილობის ჩაჭრით და დახშობით</t>
  </si>
  <si>
    <t>სან/კვანძებში პლასტიკატის შეკიდული ჭერის დემონტაჟი კარკასის დაშლით</t>
  </si>
  <si>
    <t>კარის ბლოკების დემონტაჟი (0.9x2.15)მ</t>
  </si>
  <si>
    <t>შეკიდულ ჭერში ჩაფლული დ170მმ სანათების დემონტაჟი</t>
  </si>
  <si>
    <t>ამსტრონგის შეკიდული ჭერის დემონტაჟი კარკასის დაშლით</t>
  </si>
  <si>
    <t>არმსტრონგის  600X600 მმ სანთების დემონტაჟი</t>
  </si>
  <si>
    <t>მეთლახის იატაკის საფარის აყრა მჭიმთან ერთად</t>
  </si>
  <si>
    <t>უნიტაზის მონტაჟი ჩამრეცხი ავზით,დრეკადი შლანგით, გოფრირებული დ100მმ მილით</t>
  </si>
  <si>
    <t xml:space="preserve">ხელსაბანის მონტაჟი შემრევით, სიფონით, დრეკადი შლანგებით,  </t>
  </si>
  <si>
    <t>პოლიეთილენის ცივი და ცხელი წყლის მილის მონტაჟი SDR11 PN 16 Ø20</t>
  </si>
  <si>
    <t>თაბაშირ მუყაოს ტიხრის გამაგრება და ცალ მხარეს თ/მუყაოს ფილის გაკვრა</t>
  </si>
  <si>
    <t xml:space="preserve"> ხრახნები, გამჭედი დუბელი და სხვა მასალები 1მ² თ/მუყაოს ფილაზე</t>
  </si>
  <si>
    <t>სან/კვანძებში და კორიდორში ტიხრების დაშლა</t>
  </si>
  <si>
    <t xml:space="preserve">ტიხარში ამოჭრილ ღიობში  და კორიდორში არსებული დემინტირებული მდფ-ის კარის ბლოკის მონტაჟი (0.9X2.15)მ </t>
  </si>
  <si>
    <t>არმსტრონგის შეკიდული ჭერის მოწყობა (ნაწილობრივ დემონტირებული ფილების გამოყენებით)</t>
  </si>
  <si>
    <t>პლასტმასის დ 100 მმ კანალიზაციის მილის მონტაჟი იატაკში ღარის გაჭრით და ჩაწყობით</t>
  </si>
  <si>
    <t xml:space="preserve">არსებული დემონტირებული ხელსაბანის მონტაჟი შემრევით, ახალი სიფონით,  დრეკადი შლანგებით   </t>
  </si>
  <si>
    <t xml:space="preserve">არმსტრონგის ლედ სანათის მონტაჟი (5ცალი არსებული დემონტირებული სანათის მონტაჟი)  </t>
  </si>
  <si>
    <t>კაფელის ფილების ჩამოყრა კედლებიდან და გკედლების გასუფთავება</t>
  </si>
  <si>
    <t xml:space="preserve">კედლებზე ძველი საღებავის გაფხეკა, დამუშავება და შეღებვა სილიკონური რეცხვადი წყალემულსიური საღებავით </t>
  </si>
  <si>
    <t xml:space="preserve">სილიკონური რეცხვადი წყალემულსიური საღებავი </t>
  </si>
  <si>
    <t>კუთხოვანა 75 X75 X5</t>
  </si>
  <si>
    <t>I სართული (ER გადაუდებელი მედიცინის განყოფილება, ბოქსი, სამრეცხაო-საშრობი, აფთიაქი,საწყობი,გარდერობი)</t>
  </si>
  <si>
    <r>
      <t>ბათუმის რეფერალური საავადმყოფოს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№1                                                                                       </t>
    </r>
  </si>
  <si>
    <t xml:space="preserve">ბეტონის (0.2X0.3)მ  ბორდიურის  ჩაჭრა და  დემონტაჟი </t>
  </si>
  <si>
    <t>2. IV  სართული</t>
  </si>
  <si>
    <t>1. ცენტრალური კიბის უჯრედი</t>
  </si>
  <si>
    <t>III და IV სართული ( III სართ. კორიდორები, ფოიე, კარდიო საოპერაციო ბლოკი, ინტესიური და პალატები; IV სართ კორიდორები, ფოიე, ნევროლოგია ინტენსიური და ინტენსიური თერაპია )</t>
  </si>
  <si>
    <t xml:space="preserve">I .ER გადაუდებელი მედიცინის განყოფილება </t>
  </si>
  <si>
    <t>ფოიე, ბილინგის და ტრიაჟის ოთახები</t>
  </si>
  <si>
    <t>40 სმ სისქის ბეტონის ბლოკის კედელში კარის (1.3X2.15)მ და ფანჯრის (0.8x 1.0)მ-2ც  ზომის  ღიობების გამოჭრა</t>
  </si>
  <si>
    <t>ზოლოვანა  40x 4</t>
  </si>
  <si>
    <t>ლითონის საჭრელი დისკი დ320</t>
  </si>
  <si>
    <t>თვითდინებით შემოსული პაციენტებისათვის  (1.3X2.15)მ ზომის ალუმინის ორფრთიანი კარის ბლოკის მონტაჟი საკეტ სახელურებით და  (0.6X0.4)მ ზომის სარკმელით</t>
  </si>
  <si>
    <t xml:space="preserve">მეტალოპლასტმასის ფანჯრის ბლოკის მონტაჟი (1.0X0.8)მ-2 ც  (ბილინგის ოთახზე და ფოიეში)  </t>
  </si>
  <si>
    <t>ახალი კარ-ფანჯრების ფერდილების ლესვა ქვიშა-ცემენტის ხსნარით სიგანით 0.2მ</t>
  </si>
  <si>
    <t>ქვიშა     0.0063</t>
  </si>
  <si>
    <r>
      <t>მ</t>
    </r>
    <r>
      <rPr>
        <sz val="10"/>
        <color theme="1"/>
        <rFont val="Calibri"/>
        <family val="2"/>
        <charset val="204"/>
      </rPr>
      <t>³</t>
    </r>
  </si>
  <si>
    <t xml:space="preserve">ცემენტი  M400  0.0018     </t>
  </si>
  <si>
    <t>მოთუთიებული 0.55მმ სისქის საცრემლეების მოწყობა ფანჯრებზე სიგანით 25 სმ</t>
  </si>
  <si>
    <t>ახალი კარის თავზე საჩეხის (,,ნავესის") მოწყობა ზომით (2.3X1.2)მ  ლითონის პროფილებით, შეღებვით და ორგ. მინის საფარით</t>
  </si>
  <si>
    <t>მილკვადრატი 40 x 60 x 3</t>
  </si>
  <si>
    <t>ორგანული მინა სისქე 8მმ</t>
  </si>
  <si>
    <t>ანკერები d=14მმ;   l=20სმ</t>
  </si>
  <si>
    <t>საჩეხის ლითონის კონსტრუქციების დამუშავება და შეღებვა ზეთოვანი საღებავით</t>
  </si>
  <si>
    <t>ზეთოვანი საღებავი   0.35</t>
  </si>
  <si>
    <t>საღებავის გამხსნელი  0.04</t>
  </si>
  <si>
    <t>ბეტონი მ200  1.02</t>
  </si>
  <si>
    <r>
      <t xml:space="preserve">წებოცემენტი   ყინვაგმძლე   </t>
    </r>
    <r>
      <rPr>
        <sz val="10"/>
        <color rgb="FFFF0000"/>
        <rFont val="Sylfaen"/>
        <family val="1"/>
        <charset val="204"/>
      </rPr>
      <t xml:space="preserve"> </t>
    </r>
  </si>
  <si>
    <t xml:space="preserve">ბილინგის ოთახების ტიხრებში მდფ-ის კარის ბლოკების დემონტაჟი (0.9X2.15)მ-2ცალი </t>
  </si>
  <si>
    <t>ფოიესა და ტრიაჟის ოთახებს შორის თაბაშირ მუყაოს ტიხარში (0.9X2.15)მ ღიობის ამოჭრა</t>
  </si>
  <si>
    <t>არმსტრონგის (60x60)სმ სანათების დემონტაჟი  ფოიეში, ბილინგის და ტრიაჟის ოთახებში</t>
  </si>
  <si>
    <t>არმსტრონგის ჭერის დემონტაჟი ლითონის კარკასის დაშლით ფოიეში, ბილინგის და ტრიაჟის ოთახებში</t>
  </si>
  <si>
    <t xml:space="preserve">სარეცხი ნიჟარის დემონტაჟი შემრევით, დ50მმ - 1.0მ  კანალიზაციის და და დ20მმ - 2მ წყლის მილების დემონტაჟით და დალუქვით </t>
  </si>
  <si>
    <t>კედლიდან კაფელის ფილების მოხსნა (ხელსაბანთან ფართუკი)</t>
  </si>
  <si>
    <t>თაბაშირ მუყაოს ტიხრის მოწყობა იზოლაციით (4.09 x 3.0)მ</t>
  </si>
  <si>
    <t xml:space="preserve">თაბ.მუყ. ფილა  ჩვეულებრივი სისქე 12.5მმ 1.05   </t>
  </si>
  <si>
    <t xml:space="preserve">თაბ.მუყ. ფილა  ნესტგამძლე სისქე 12.5მმ   1.05 </t>
  </si>
  <si>
    <t xml:space="preserve">სან/კვანძში კედლებზე ჩვეულებრივი თ/მუყაოს ფილების ჩამოხსნა და  შემოსვა ნესტგამძლე თაბაშირ/მუყაოს ფილებით </t>
  </si>
  <si>
    <t xml:space="preserve">ქვიშა-ცემენტის მჭიმის მოწყობა იატაკებზე სისქე 4სმ მარკით M100 </t>
  </si>
  <si>
    <t>ჰიდრიოზოლაციის მოწყობა ორკომპონენტიანი ჰიდროსაიზოლაციო მასალით</t>
  </si>
  <si>
    <t xml:space="preserve">კერამიკული ფილა კაფელი  RAL 9003, 200X400  </t>
  </si>
  <si>
    <t>ფოიეში ბილინგისა და ტრიაჟის ოთახებში საღებავის გაფხეკა, დამუშავება და შეღებვა სილიკონური რეცხვადი საღებავით</t>
  </si>
  <si>
    <t>დ=150 მმ გამწოვი ვენტილატორის მონტაჟი სან/კვნძში</t>
  </si>
  <si>
    <t>II. მცირე საოპერაციო, ობსერვაციის პალატა და მიმდებარე კორიდორი</t>
  </si>
  <si>
    <t xml:space="preserve">საოპერაციოს წინ ექთნის ოთახში ქირურგიული ხელსაბანის დემონტაჟი შემრევთან ერთად </t>
  </si>
  <si>
    <t xml:space="preserve">კედლიდან კაფელის ფილების ჩამოხსნა </t>
  </si>
  <si>
    <r>
      <t>მ</t>
    </r>
    <r>
      <rPr>
        <b/>
        <sz val="10"/>
        <color theme="1"/>
        <rFont val="Calibri"/>
        <family val="2"/>
        <charset val="204"/>
      </rPr>
      <t>³</t>
    </r>
  </si>
  <si>
    <t>ექთნის ოთახიდან კორიდორში დასასვლელად თაბაშირ მუყაოს ტიხარში (0.9X2.15)მ ღიობის ამოჭრა</t>
  </si>
  <si>
    <t>ამსტრონგის ფილების ჩამოხსნა მოსაწყობი ტიხრის გასწვრივ</t>
  </si>
  <si>
    <t>კორიდორებში და ფოიეში კედლების კუთხეებზე ლამინირებული დსპ-ს  დამცავი (20სმ) ზოლების მოწყობა მოწყობა, დაზიანებულების შეცვლა H=1.1მ სიმაღლეზე</t>
  </si>
  <si>
    <t>კედლებზე ლამინირებული დსპ-ს ფილების 25 სმ სიგანის დაზიანებული ბამპერების შეცვლა ახლით</t>
  </si>
  <si>
    <t xml:space="preserve">ლამინირებული "დსპ"  (250 მმ * 12 მმ)  </t>
  </si>
  <si>
    <t>ამსტრონგის ფილების აღდგენა-მოწყობა ახალი ტიხრის გასწვრივ</t>
  </si>
  <si>
    <t>ექთნის ოთახში, ობსერვაციის პალატაში და კორიდორში კედლებზე ძველი საღებავის ჩამოფხეკა, დამუშავება და შეღებვა რეცხვადი წყალემულსიური საღებავით</t>
  </si>
  <si>
    <t xml:space="preserve">დემონტირებული ქირურგიული ხელსაბანის მონტაჟი შემრევით, სიფონით, დრეკადი შლანგებით, (საოპერაციოში)  </t>
  </si>
  <si>
    <t>დ=50მმ კანალიზაციის მილის მონტაჟი და დაერთება არსებულ მილზე (თაბაშირ მუყაოს კედელში ნახვრეტის მოწყობით)</t>
  </si>
  <si>
    <t>პოლიეთილენის ცივი და ცხელი წყლის მილის მონტაჟი SDR11 PN 16 Ø20   (თაბაშირ მუყაოს კედელში ნახვრეტის მოწყობით)</t>
  </si>
  <si>
    <t>III.  შოკის და თაბაშირის საპროცედურო ოთახები, ბოქსი და სამრეცხაო-საშრობის ოთახები</t>
  </si>
  <si>
    <t>1. შოკის ოთახი</t>
  </si>
  <si>
    <t>თაბაშირ მუყაოს ტიხარში ბქსის მხარეს  ვიტრაჟისათვი (1.2X1.7)მ ღიობის ამოჭრა</t>
  </si>
  <si>
    <t>(1.2X1.7)მ ზომის მეტალოპლასტმასის ყრუ ვიტრაჟის მონტაჟი  მინაპაკეტით</t>
  </si>
  <si>
    <t>2. თაბაშირის საპროცედურო, შლუზი, ბოქსი</t>
  </si>
  <si>
    <t>არმსტრონგის (60x60)სმ სანათების დემონტაჟი  (თაბაშირის საპროცედურო, შლუზი, ბოქსი)</t>
  </si>
  <si>
    <t>პლასტიკატის შეკიდული ჭერის ჩამოხსნა კარკასთან ერთად სათაბაშირე ოთახის გვერდით ოთახში</t>
  </si>
  <si>
    <t>თაბაშირ მუყაოს ტიხრების დემონტაჟი ლითონის კარკასის დაშლით</t>
  </si>
  <si>
    <t>სათაბაშირესა და კორიდორს შორის თაბაშირ მუყაოს ტიხარში (0.9X2.15)მ ღიობის ამოჭრა</t>
  </si>
  <si>
    <t>არსებული თაბაშირის საპროცედურო უჟანგავი ლითონის ჩანის დემონტაჟი, კანალიზაციის დ50მმ და წყლის მილების ჩაჭრით და დახშობით</t>
  </si>
  <si>
    <t>სათაბაშერეში იატაკზე არსებული დ=50მმ ტრაპის დემონტაჟი</t>
  </si>
  <si>
    <t xml:space="preserve">სათაბაშირე ოთახის გვერდით ოთახში  საშხაპე ქვედის და შხაპის დემონტაჟი </t>
  </si>
  <si>
    <t>ტიხრებში მდფ-ის კარის ბლოკების დემონტაჟი (1.3X2.15)მ -2ც; (0.9X2.15)მ -1ც</t>
  </si>
  <si>
    <t>ბოქსის ოთახზე ფასადის მხარეს ლითონის ორფრთიანი კარის ბლოკის დემონტაჟი  (2.0 x 2.0)მ</t>
  </si>
  <si>
    <t xml:space="preserve"> კარების ღიობის თავზე ბეტონის 40 სმ სისქის კედელში ფანჯრის მოსაწყობად (1.0 x 2.0)მ ღიობის გამონგრევა</t>
  </si>
  <si>
    <t>დემონტირებული კარის ღიობის ამოშენება ბლოკით სისქე 40 სმ</t>
  </si>
  <si>
    <t>პემზის ბლოკი 19 x19 x39</t>
  </si>
  <si>
    <t>ქვიშა 0.13</t>
  </si>
  <si>
    <t>ცემენტი  0.031</t>
  </si>
  <si>
    <t>გლინულა  0.0024</t>
  </si>
  <si>
    <t xml:space="preserve">მეტალოპლასტმასის ფანჯრის ბლოკის მონტაჟი (1.0X2.0)მ-1 ც  (ბილინგის ოთახზე და ფოიეში)  </t>
  </si>
  <si>
    <t>ახალი ფანჯრის ფერდილების ლესვა ქვიშა-ცემენტის ხსნარით სიგანით 0.2მ</t>
  </si>
  <si>
    <t>კადლის შელესვა ქვიშა-ცემენტის ხსნარით</t>
  </si>
  <si>
    <t>ქვიშა     0.036</t>
  </si>
  <si>
    <t xml:space="preserve">ცემენტი  M400  0.0118    </t>
  </si>
  <si>
    <t>ფასადის მხარეს კედლზე ცემენტის ნაშხეფის მოწყობა</t>
  </si>
  <si>
    <t>ქვიშა     0.0048</t>
  </si>
  <si>
    <t xml:space="preserve">ცემენტი  M400  0.0016    </t>
  </si>
  <si>
    <t>წებო ПВА 0.15</t>
  </si>
  <si>
    <t>ფასადის მხარეს კედლის და ფანჯრის ფერდილების  შეღებვა ფასადის საღებავით</t>
  </si>
  <si>
    <t>ფასადის საღებავი  0.59</t>
  </si>
  <si>
    <t>გამხსნელი   0.1</t>
  </si>
  <si>
    <t>გრუნტი   0.15</t>
  </si>
  <si>
    <t xml:space="preserve">კომბინირებული თაბაშირ მუყაოს ტიხრის მოწყობა იზოლაციით  სან/კვანძისათვის </t>
  </si>
  <si>
    <t xml:space="preserve">თაბ.მუყ. ფილა  ნესტგამძლე  სისქე 12.5მმ    </t>
  </si>
  <si>
    <t>ჩვეულებრივი თაბაშირ მუყაოს ტიხრის მოწყობა იზოლაციით</t>
  </si>
  <si>
    <t>ნესტგამძლე თაბაშირ მუყაოს ტიხრის მოწყობა იზოლაციით</t>
  </si>
  <si>
    <t xml:space="preserve">თაბ.მუყ. ფილა  ნესტგამძლე სისქე 12.5მმ    </t>
  </si>
  <si>
    <t>დემონტირებული კარის ღიობების შევსება ჩვეულებრივი თაბაშირ მუყაოს ფილებით იზოლაციით</t>
  </si>
  <si>
    <t>ბლოკით ამოშენებული კედლის შეფუთვა თ/მუყაოს ფილებით</t>
  </si>
  <si>
    <t xml:space="preserve">მდფ-ის კარის ბლოკის მონტაჟი (0.9X2.15)მ-1ც; (1.3X2.15)მ-1ც </t>
  </si>
  <si>
    <t xml:space="preserve">არმსტრონგის შეკიდული ჭერის მოწყობა საპროცედურო, შლუზი, ბოქსი ოთახებში </t>
  </si>
  <si>
    <r>
      <t>სან/კვანძში (3.3მ</t>
    </r>
    <r>
      <rPr>
        <b/>
        <sz val="10"/>
        <color theme="1"/>
        <rFont val="Calibri"/>
        <family val="2"/>
        <charset val="204"/>
      </rPr>
      <t>²)</t>
    </r>
    <r>
      <rPr>
        <b/>
        <sz val="10"/>
        <color theme="1"/>
        <rFont val="Sylfaen"/>
        <family val="1"/>
        <charset val="204"/>
      </rPr>
      <t xml:space="preserve"> და სათაბაშირე ოთახში (2.7მ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Sylfaen"/>
        <family val="1"/>
        <charset val="204"/>
      </rPr>
      <t xml:space="preserve">)პლასტიკატის შეკიდული ჭერის მოწყობა </t>
    </r>
  </si>
  <si>
    <t>ჰიდრიოზოლაციის მოწყობა ორკომპონენტიანი ჰიდროსაიზოლაციო მასალით ახალ სან/კვანძში</t>
  </si>
  <si>
    <t>კაფელის მოწყობა კედლებზე სან/კვანძში, ხელსაბანებთან ფართუკი და სათაბაშირე ჩანთან</t>
  </si>
  <si>
    <t>კედლებზე  დამუშავება და შეღებვა სილიკონური რეცხვადი  საღებავით</t>
  </si>
  <si>
    <t>სანტექნიკური სამუშაოები, ვენტილაცია</t>
  </si>
  <si>
    <t>საშხაპე ქვედის მონტაჟი შხაპთან ერთად</t>
  </si>
  <si>
    <t>თაბაშირის საპროცედურო უჟანგავი ლითონის   სპეციალური ჩანის მონტაჟი  სალექარით</t>
  </si>
  <si>
    <t>ფასონური დეტალები  დ50მმ</t>
  </si>
  <si>
    <t>ფასონური დეტალები  დ100მმ</t>
  </si>
  <si>
    <t xml:space="preserve">გამწოვი სისტემის სავენტილაციო დანადგარის, ცხაურების და  ჰაერსატარების მონტაჟი ბოქსში  უარყოფითი წნევის უზრუნველსაყოფად </t>
  </si>
  <si>
    <t>მოდინებითი სისტემის დანადგარის, გადამწოდი დრეკადი გოფრირებული შეფუთული ჰაერსატარების და ცხაურების მონტაჟი</t>
  </si>
  <si>
    <t>ასფალტის საფარის გაჭრა 50სმ სიღრმის ღარის მოწყობა საკანალიზაციო ჭამდე და საკანალიზაციო მილების ჩაწყობის შემდეგ გრუნტის ჩაყრა და ასფალტის საფარის აღდგენა</t>
  </si>
  <si>
    <t>3. სამრეცხაო-საშრობი, მიმდებარე კორიდორი, დამხმარე ოთახები</t>
  </si>
  <si>
    <t xml:space="preserve">ამსტრონგის ფილების ჩამოხსნა მოსაწყობი ტიხრის გასწვრივ  </t>
  </si>
  <si>
    <t>ამსტრონგის ჭერის ჩამოხსნა  დამხმარე ოთახში</t>
  </si>
  <si>
    <t>სამრეცხაოს ოთახზე ფასადის მხარეს მეტალოპლასტმასის ფანჯრის  ბლოკის დემონტაჟი  (1.0 x 2.0)მ</t>
  </si>
  <si>
    <t>ბეტონის 40 სმ სისქის კედელში კარის ღიობის  მოსაწყობად (2.0 x 2.0)მ ღიობის გამონგრევა</t>
  </si>
  <si>
    <t>დემონტირებული ფანჯრის ღიობის ამოშენება ბლოკით სისქე 40 სმ</t>
  </si>
  <si>
    <t xml:space="preserve">არსებული დემონტირებული ლითონის კარის ბლოკის მონტაჟი (2.0X2.0)მ-1 ც   </t>
  </si>
  <si>
    <t>ლითონის კარის ბლოკის დამუშავება და შეღებვა ზეთოვანი საღებავით</t>
  </si>
  <si>
    <t>საღებავი ზეთოვანი  0.35</t>
  </si>
  <si>
    <t>ზუმფარა  0.09</t>
  </si>
  <si>
    <t>კარის ფერდილების ლესვა ქვიშა-ცემენტის ხსნარით სიგანით 0.2მ</t>
  </si>
  <si>
    <t>მდფ-ის კარის ბლოკის მონტაჟი (0.9X2.15)მ-1ც; სამზარეულო ოთახზე</t>
  </si>
  <si>
    <t xml:space="preserve">კაფელის მოწყობა კედლებზე  ხელსაბანებთან - ფართუკი </t>
  </si>
  <si>
    <t xml:space="preserve">არმსტრონგის შეკიდული ჭერის მოწყობა  ოთახებში </t>
  </si>
  <si>
    <t>კორიდორებში  კედლების კუთხეებზე ლამინირებული დსპ-ს  დამცავი (20სმ) ზოლების მოწყობა მოწყობა, დაზიანებულების შეცვლა H=1.1მ სიმაღლეზე</t>
  </si>
  <si>
    <t>სამრეცხაოში, სამზარეულოში, დამხმარე ოთახში და კორიდორში კედლებზე ძველი საღებავის ჩამოფხეკა, დამუშავება და შეღებვა რეცხვადი წყალემულსიური საღებავით</t>
  </si>
  <si>
    <t>ხელსაბანის მონტაჟი შემრევით, სიფონით, არკოს კრანებით, დრეკადი შლანგებით,  სამზარეულოში და სამრეცხაოში</t>
  </si>
  <si>
    <t xml:space="preserve">IV. აფთიაქი,საწყობი,გარდერობი </t>
  </si>
  <si>
    <t xml:space="preserve">მეთლახის ფილა      </t>
  </si>
  <si>
    <t>კიბის უჯრედების  კედლებზე ძველი საღებავის გაფხეკა, დამუშავება და შეღებვა სილიკონური რეცხვადი ემულსიური    საღებავით</t>
  </si>
  <si>
    <t>ბაქნების და კიბის მარშების ქვედა ზედაპირზე და გვერდებზე ძველი საღებავის გაფხეკა, დამუშავება და შეღებვა სილოკონური რეცხვადი ემულსიური  საღებავით</t>
  </si>
  <si>
    <t>კიბის უჯრედების ჭერზე ძველი საღებავის გაფხეკა, დამუშავება და შეღებვა სილოკონური რეცხვადი ემულსიური  საღებავით</t>
  </si>
  <si>
    <t>კორიდორებში  და ფოიეში კედლებზე (1.2მ-ის ქვემოთ და დაზიანებულ ადგილებზე) ძველი საღებავის გაფხეკა, დამუშავება და შეღებვა სილიკონური რეცხვადი ემულსიური  საღებავით</t>
  </si>
  <si>
    <t>კორიდორებში  და ფოიეში კედლებზე (1.2მ-ის ქვემოთ და დაზიანებულ ადგილებზე) ძველი საღებავის გაფხეკა, დამუშავება და შეღებვა სილიკონური რეცხვადი ემულსიური საღებავით</t>
  </si>
  <si>
    <t xml:space="preserve">ვინილის წებო უზინი ან მსგავსი  0.4  </t>
  </si>
  <si>
    <t>წებო ბიზონკიტი ან მსგავსი  0.1</t>
  </si>
  <si>
    <t>წებო გრაფიტის (ანტისტატიკური ვინილისათვის) 0.35</t>
  </si>
  <si>
    <t>ძაფი პოლივინილქლორიდის  2</t>
  </si>
  <si>
    <t xml:space="preserve">ვინილის წებო უზინი ან მსგავსი    0.4 </t>
  </si>
  <si>
    <t>წებო ბიზონკიტი ან მსგავსი   0.1</t>
  </si>
  <si>
    <t>წებო გრაფიტის (ანტისტატიკური ვინილისათვის)  0.35</t>
  </si>
  <si>
    <t>ძაფი პოლივინილქლორიდის  22</t>
  </si>
  <si>
    <t xml:space="preserve">მედპერსონალის ოთახში კედლებზე ძველი საღებავის გაფხეკა, დამუშავება და შეღებვა  სილიკონური რეცხვადი ემულსიური  საღებავით </t>
  </si>
  <si>
    <t>კიბის უჯრედების  კედლებზე ძველი საღებავის გაფხეკა, დამუშავება და შეღებვა სილიკონური რეცხვადი ემულსიური  საღებავით</t>
  </si>
  <si>
    <t>ბაქნების და კიბის მარშების ქვედა ზედაპირზე და გვერდებზე ძველი საღებავის გაფხეკა, დამუშავება და შეღებვა სილიკონური რეცხვადი ემულსიური  საღებავით</t>
  </si>
  <si>
    <t>კიბის უჯრედების ჭერზე ძველი საღებავის გაფხეკა, დამუშავება და შეღებვა სილიკონური რეცხვადი ემულსიური  საღებავით</t>
  </si>
  <si>
    <t>ბაქნების და კიბის მარშების ქვედა ზედაპირზე და გვერდებზე ძველი საღებავის გაფხეკა, დამუშავება და  შეღებვა სილიკონური რეცხვადი ემულსიური  საღებავით</t>
  </si>
  <si>
    <t>ცენტრალური კიბის უჯრედი</t>
  </si>
  <si>
    <t>შდგენილია СНиП IV-2-82 და სამშენებლო რესურსების ფასთა კრებულის 2022წ II კვარტლის საფუძველზე</t>
  </si>
  <si>
    <t xml:space="preserve">  </t>
  </si>
  <si>
    <t>I სართული</t>
  </si>
  <si>
    <r>
      <t>III-IV სართული</t>
    </r>
    <r>
      <rPr>
        <b/>
        <sz val="12"/>
        <color theme="1"/>
        <rFont val="Sylfaen"/>
        <family val="1"/>
      </rPr>
      <t xml:space="preserve">                                                                                       </t>
    </r>
  </si>
  <si>
    <r>
      <t>ბილინგის ოთახში ჭერში კასეტური ორმილოვანი ფენკოილის (510მ</t>
    </r>
    <r>
      <rPr>
        <b/>
        <sz val="10"/>
        <color theme="1"/>
        <rFont val="Calibri"/>
        <family val="2"/>
        <charset val="204"/>
      </rPr>
      <t>³</t>
    </r>
    <r>
      <rPr>
        <b/>
        <sz val="10"/>
        <color theme="1"/>
        <rFont val="Sylfaen"/>
        <family val="1"/>
        <charset val="204"/>
      </rPr>
      <t>/სთ, 3.5კვტ გათბ, 2.8კვტ გაც) მონტაჟი და დაერთება ტრიაჟის ოთახში არსებული ფენკოილის მოლგაყვანილობაზე დ25მმ მილებით</t>
    </r>
  </si>
  <si>
    <r>
      <t>ჭერში კასეტური ორმილოვანი ფენკოილის (510მ</t>
    </r>
    <r>
      <rPr>
        <b/>
        <sz val="10"/>
        <color theme="1"/>
        <rFont val="Calibri"/>
        <family val="2"/>
        <charset val="204"/>
      </rPr>
      <t>³</t>
    </r>
    <r>
      <rPr>
        <b/>
        <sz val="10"/>
        <color theme="1"/>
        <rFont val="Sylfaen"/>
        <family val="1"/>
        <charset val="204"/>
      </rPr>
      <t>/სთ, 3.5კვტ გათბ, 2.8კვტ გაც) მონტაჟი და დაერთება ტრიაჟის ოთახში არსებული ფენკოილის მოლგაყვანილობაზე დ25მმ მილებით</t>
    </r>
  </si>
  <si>
    <t>გამწოვი სისტემის დ200მმ ჰაერსატარი მილის მონტაჟი  ფასადის მხარეს სახურავზე აყვანით, 5მმ სისქის ქვაბამბით და დამცავი 0.35მმ მოთუთიებული თუნუქით შეფუთვით,  სამაგრებით და თუნუქის ქუდით</t>
  </si>
  <si>
    <t xml:space="preserve">მეთლახის  ფილების დაგება სან/კვანძში </t>
  </si>
  <si>
    <t>%</t>
  </si>
  <si>
    <t>__ __________ 2022წ.</t>
  </si>
  <si>
    <t>__ ____ 2022წ.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</si>
</sst>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₾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sz val="8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</font>
    <font>
      <b/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Sylfaen"/>
      <family val="1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27" fillId="0" borderId="0"/>
    <xf numFmtId="0" fontId="28" fillId="0" borderId="0"/>
  </cellStyleXfs>
  <cellXfs count="23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5" fillId="2" borderId="1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7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49" fontId="18" fillId="0" borderId="5" xfId="1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 applyProtection="1">
      <alignment horizontal="left" vertical="center" wrapText="1"/>
      <protection hidden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18" fillId="2" borderId="5" xfId="0" applyFont="1" applyFill="1" applyBorder="1" applyAlignment="1" applyProtection="1">
      <alignment horizontal="left" vertical="center" wrapText="1"/>
      <protection hidden="1"/>
    </xf>
    <xf numFmtId="4" fontId="18" fillId="2" borderId="1" xfId="0" applyNumberFormat="1" applyFont="1" applyFill="1" applyBorder="1" applyAlignment="1" applyProtection="1">
      <alignment horizontal="center" vertical="center"/>
      <protection hidden="1"/>
    </xf>
    <xf numFmtId="4" fontId="9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2" fontId="18" fillId="0" borderId="4" xfId="1" applyNumberFormat="1" applyFont="1" applyBorder="1" applyAlignment="1">
      <alignment horizontal="center" vertical="top" wrapText="1"/>
    </xf>
    <xf numFmtId="2" fontId="18" fillId="0" borderId="7" xfId="1" applyNumberFormat="1" applyFont="1" applyBorder="1" applyAlignment="1">
      <alignment horizontal="center" vertical="top" wrapText="1"/>
    </xf>
    <xf numFmtId="2" fontId="18" fillId="0" borderId="5" xfId="1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8" fillId="0" borderId="4" xfId="1" applyFont="1" applyBorder="1" applyAlignment="1">
      <alignment horizontal="center" vertical="top" wrapText="1"/>
    </xf>
    <xf numFmtId="49" fontId="18" fillId="0" borderId="7" xfId="1" applyNumberFormat="1" applyFont="1" applyBorder="1" applyAlignment="1">
      <alignment horizontal="center" vertical="top" wrapText="1"/>
    </xf>
    <xf numFmtId="49" fontId="18" fillId="0" borderId="5" xfId="1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top" wrapText="1"/>
    </xf>
    <xf numFmtId="0" fontId="23" fillId="0" borderId="4" xfId="1" applyNumberFormat="1" applyFont="1" applyBorder="1" applyAlignment="1">
      <alignment horizontal="center" vertical="top" wrapText="1"/>
    </xf>
    <xf numFmtId="49" fontId="23" fillId="0" borderId="7" xfId="1" applyNumberFormat="1" applyFont="1" applyBorder="1" applyAlignment="1">
      <alignment horizontal="center" vertical="top" wrapText="1"/>
    </xf>
    <xf numFmtId="49" fontId="23" fillId="0" borderId="5" xfId="1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23" fillId="0" borderId="4" xfId="1" applyNumberFormat="1" applyFont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49" fontId="18" fillId="0" borderId="4" xfId="1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3 2" xfId="1" xr:uid="{145E1CB9-7663-421B-907A-4A1A6012E433}"/>
    <cellStyle name="silfain" xfId="3" xr:uid="{C83F64FE-C6C8-45D3-B78D-25A2B48D31A8}"/>
    <cellStyle name="Обычный_Лист1" xfId="2" xr:uid="{9C49BDFC-8431-470A-BCB1-77EBAF1FEFB0}"/>
  </cellStyles>
  <dxfs count="3"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0A65B-5FA5-4579-AD5D-EE389A87B5A4}">
  <sheetPr>
    <tabColor rgb="FFFFFF00"/>
  </sheetPr>
  <dimension ref="A2:D12"/>
  <sheetViews>
    <sheetView topLeftCell="A4" zoomScaleNormal="100" workbookViewId="0">
      <selection activeCell="A4" sqref="A4:D4"/>
    </sheetView>
  </sheetViews>
  <sheetFormatPr defaultColWidth="9.08984375" defaultRowHeight="14.5" x14ac:dyDescent="0.35"/>
  <cols>
    <col min="1" max="1" width="7.36328125" style="62" customWidth="1"/>
    <col min="2" max="2" width="72.453125" style="62" customWidth="1"/>
    <col min="3" max="3" width="18.453125" style="62" customWidth="1"/>
    <col min="4" max="4" width="27.90625" style="62" customWidth="1"/>
    <col min="5" max="16384" width="9.08984375" style="62"/>
  </cols>
  <sheetData>
    <row r="2" spans="1:4" x14ac:dyDescent="0.35">
      <c r="A2" s="181" t="s">
        <v>73</v>
      </c>
      <c r="B2" s="181"/>
    </row>
    <row r="4" spans="1:4" ht="20.149999999999999" customHeight="1" x14ac:dyDescent="0.35">
      <c r="A4" s="179" t="s">
        <v>81</v>
      </c>
      <c r="B4" s="179"/>
      <c r="C4" s="179"/>
      <c r="D4" s="179"/>
    </row>
    <row r="5" spans="1:4" ht="16" x14ac:dyDescent="0.35">
      <c r="A5" s="180" t="s">
        <v>49</v>
      </c>
      <c r="B5" s="180"/>
      <c r="C5" s="180"/>
      <c r="D5" s="180"/>
    </row>
    <row r="6" spans="1:4" ht="24.9" customHeight="1" x14ac:dyDescent="0.35">
      <c r="A6" s="71"/>
      <c r="B6" s="72" t="s">
        <v>52</v>
      </c>
      <c r="C6" s="71" t="s">
        <v>50</v>
      </c>
      <c r="D6" s="71" t="s">
        <v>51</v>
      </c>
    </row>
    <row r="7" spans="1:4" ht="30" customHeight="1" x14ac:dyDescent="0.35">
      <c r="A7" s="72">
        <v>1</v>
      </c>
      <c r="B7" s="73" t="s">
        <v>215</v>
      </c>
      <c r="C7" s="67" t="s">
        <v>53</v>
      </c>
      <c r="D7" s="63" t="e">
        <f>'I სართული'!K561</f>
        <v>#VALUE!</v>
      </c>
    </row>
    <row r="8" spans="1:4" ht="24.9" customHeight="1" x14ac:dyDescent="0.35">
      <c r="A8" s="72">
        <v>2</v>
      </c>
      <c r="B8" s="66" t="s">
        <v>362</v>
      </c>
      <c r="C8" s="67" t="s">
        <v>54</v>
      </c>
      <c r="D8" s="144" t="e">
        <f>'ცენტრ. კიბის უჯრედი'!K45</f>
        <v>#VALUE!</v>
      </c>
    </row>
    <row r="9" spans="1:4" ht="40.5" x14ac:dyDescent="0.35">
      <c r="A9" s="72">
        <v>3</v>
      </c>
      <c r="B9" s="73" t="s">
        <v>220</v>
      </c>
      <c r="C9" s="67" t="s">
        <v>55</v>
      </c>
      <c r="D9" s="144" t="e">
        <f>'III-IVსართული.'!K156</f>
        <v>#VALUE!</v>
      </c>
    </row>
    <row r="10" spans="1:4" ht="24.9" customHeight="1" x14ac:dyDescent="0.35">
      <c r="A10" s="72">
        <v>4</v>
      </c>
      <c r="B10" s="66" t="s">
        <v>72</v>
      </c>
      <c r="C10" s="67" t="s">
        <v>56</v>
      </c>
      <c r="D10" s="144" t="e">
        <f>Vსართული!K71</f>
        <v>#VALUE!</v>
      </c>
    </row>
    <row r="11" spans="1:4" ht="24.9" customHeight="1" x14ac:dyDescent="0.35">
      <c r="A11" s="72">
        <v>5</v>
      </c>
      <c r="B11" s="68" t="s">
        <v>71</v>
      </c>
      <c r="C11" s="67" t="s">
        <v>57</v>
      </c>
      <c r="D11" s="145" t="e">
        <f>'საევ.კიბის უჯრედები'!K70</f>
        <v>#VALUE!</v>
      </c>
    </row>
    <row r="12" spans="1:4" ht="24.9" customHeight="1" x14ac:dyDescent="0.35">
      <c r="A12" s="57"/>
      <c r="B12" s="64" t="s">
        <v>6</v>
      </c>
      <c r="C12" s="57"/>
      <c r="D12" s="65" t="e">
        <f>SUM(D7:D11)</f>
        <v>#VALUE!</v>
      </c>
    </row>
  </sheetData>
  <mergeCells count="3">
    <mergeCell ref="A4:D4"/>
    <mergeCell ref="A5:D5"/>
    <mergeCell ref="A2:B2"/>
  </mergeCells>
  <pageMargins left="0.7" right="0.7" top="0.75" bottom="0.75" header="0.3" footer="0.3"/>
  <pageSetup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AE44-9433-49E9-B496-5F08E3547D7F}">
  <sheetPr>
    <tabColor rgb="FF92D050"/>
  </sheetPr>
  <dimension ref="A1:L561"/>
  <sheetViews>
    <sheetView topLeftCell="A28" zoomScaleNormal="100" workbookViewId="0">
      <selection activeCell="A5" sqref="A5:E5"/>
    </sheetView>
  </sheetViews>
  <sheetFormatPr defaultColWidth="9.08984375" defaultRowHeight="14.5" x14ac:dyDescent="0.35"/>
  <cols>
    <col min="1" max="1" width="4.90625" style="112" customWidth="1"/>
    <col min="2" max="2" width="65.54296875" style="112" customWidth="1"/>
    <col min="3" max="4" width="9.08984375" style="112"/>
    <col min="5" max="5" width="8.36328125" style="112" customWidth="1"/>
    <col min="6" max="6" width="10.453125" style="112" customWidth="1"/>
    <col min="7" max="7" width="8" style="112" customWidth="1"/>
    <col min="8" max="8" width="10.6328125" style="112" customWidth="1"/>
    <col min="9" max="9" width="7.54296875" style="112" customWidth="1"/>
    <col min="10" max="10" width="10.36328125" style="112" customWidth="1"/>
    <col min="11" max="11" width="13.453125" style="112" customWidth="1"/>
    <col min="12" max="16384" width="9.08984375" style="112"/>
  </cols>
  <sheetData>
    <row r="1" spans="1:11" ht="23.25" customHeight="1" x14ac:dyDescent="0.4">
      <c r="A1" s="1"/>
      <c r="B1" s="215" t="s">
        <v>70</v>
      </c>
      <c r="C1" s="215"/>
      <c r="D1" s="215"/>
      <c r="E1" s="215"/>
      <c r="F1" s="215"/>
      <c r="G1" s="215"/>
      <c r="H1" s="215"/>
      <c r="I1" s="215"/>
      <c r="J1" s="216"/>
      <c r="K1" s="216"/>
    </row>
    <row r="2" spans="1:11" ht="23.25" customHeight="1" x14ac:dyDescent="0.35">
      <c r="A2" s="1"/>
      <c r="B2" s="217" t="s">
        <v>216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" customHeight="1" x14ac:dyDescent="0.35">
      <c r="A3" s="15"/>
      <c r="B3" s="218" t="s">
        <v>365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6" x14ac:dyDescent="0.35">
      <c r="A4" s="187" t="s">
        <v>372</v>
      </c>
      <c r="B4" s="187"/>
      <c r="C4" s="188" t="s">
        <v>364</v>
      </c>
      <c r="D4" s="188"/>
      <c r="E4" s="188"/>
      <c r="F4" s="173"/>
      <c r="G4" s="173"/>
      <c r="H4" s="173"/>
      <c r="I4" s="173"/>
      <c r="J4" s="173"/>
      <c r="K4" s="173"/>
    </row>
    <row r="5" spans="1:11" ht="18" customHeight="1" x14ac:dyDescent="0.35">
      <c r="A5" s="189" t="s">
        <v>363</v>
      </c>
      <c r="B5" s="189"/>
      <c r="C5" s="189"/>
      <c r="D5" s="189"/>
      <c r="E5" s="189"/>
      <c r="F5" s="219" t="s">
        <v>22</v>
      </c>
      <c r="G5" s="219"/>
      <c r="H5" s="219"/>
      <c r="I5" s="220" t="e">
        <f>K561</f>
        <v>#VALUE!</v>
      </c>
      <c r="J5" s="221"/>
      <c r="K5" s="16" t="s">
        <v>10</v>
      </c>
    </row>
    <row r="6" spans="1:11" ht="30" customHeight="1" x14ac:dyDescent="0.35">
      <c r="A6" s="209" t="s">
        <v>18</v>
      </c>
      <c r="B6" s="209" t="s">
        <v>0</v>
      </c>
      <c r="C6" s="209" t="s">
        <v>1</v>
      </c>
      <c r="D6" s="213" t="s">
        <v>2</v>
      </c>
      <c r="E6" s="211" t="s">
        <v>3</v>
      </c>
      <c r="F6" s="212"/>
      <c r="G6" s="211" t="s">
        <v>4</v>
      </c>
      <c r="H6" s="212"/>
      <c r="I6" s="207" t="s">
        <v>5</v>
      </c>
      <c r="J6" s="208"/>
      <c r="K6" s="209" t="s">
        <v>6</v>
      </c>
    </row>
    <row r="7" spans="1:11" ht="27" x14ac:dyDescent="0.35">
      <c r="A7" s="210"/>
      <c r="B7" s="210"/>
      <c r="C7" s="210"/>
      <c r="D7" s="214"/>
      <c r="E7" s="11" t="s">
        <v>7</v>
      </c>
      <c r="F7" s="11" t="s">
        <v>6</v>
      </c>
      <c r="G7" s="11" t="s">
        <v>7</v>
      </c>
      <c r="H7" s="11" t="s">
        <v>6</v>
      </c>
      <c r="I7" s="11" t="s">
        <v>7</v>
      </c>
      <c r="J7" s="11" t="s">
        <v>6</v>
      </c>
      <c r="K7" s="210"/>
    </row>
    <row r="8" spans="1:11" x14ac:dyDescent="0.35">
      <c r="A8" s="115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  <c r="J8" s="113">
        <v>10</v>
      </c>
      <c r="K8" s="113">
        <v>11</v>
      </c>
    </row>
    <row r="9" spans="1:11" s="77" customFormat="1" ht="20.149999999999999" customHeight="1" x14ac:dyDescent="0.35">
      <c r="A9" s="128"/>
      <c r="B9" s="131" t="s">
        <v>221</v>
      </c>
      <c r="C9" s="128"/>
      <c r="D9" s="128"/>
      <c r="E9" s="128"/>
      <c r="F9" s="128"/>
      <c r="G9" s="128"/>
      <c r="H9" s="128"/>
      <c r="I9" s="128"/>
      <c r="J9" s="128"/>
      <c r="K9" s="128"/>
    </row>
    <row r="10" spans="1:11" x14ac:dyDescent="0.35">
      <c r="A10" s="155"/>
      <c r="B10" s="110" t="s">
        <v>222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20.149999999999999" customHeight="1" x14ac:dyDescent="0.35">
      <c r="A11" s="113"/>
      <c r="B11" s="110" t="s">
        <v>36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27" x14ac:dyDescent="0.35">
      <c r="A12" s="118">
        <v>1</v>
      </c>
      <c r="B12" s="25" t="s">
        <v>223</v>
      </c>
      <c r="C12" s="118" t="s">
        <v>132</v>
      </c>
      <c r="D12" s="60">
        <f>(1.3*2.15+0.8*1*2)*0.4</f>
        <v>1.758</v>
      </c>
      <c r="E12" s="114"/>
      <c r="F12" s="114"/>
      <c r="G12" s="114"/>
      <c r="H12" s="114">
        <f>G12*D12</f>
        <v>0</v>
      </c>
      <c r="I12" s="114"/>
      <c r="J12" s="114">
        <f>I12*D12</f>
        <v>0</v>
      </c>
      <c r="K12" s="114">
        <f>J12+H12+F12</f>
        <v>0</v>
      </c>
    </row>
    <row r="13" spans="1:11" x14ac:dyDescent="0.35">
      <c r="A13" s="194">
        <v>2</v>
      </c>
      <c r="B13" s="74" t="s">
        <v>133</v>
      </c>
      <c r="C13" s="9" t="s">
        <v>23</v>
      </c>
      <c r="D13" s="75">
        <f>1.3*2.15+0.8*1</f>
        <v>3.5949999999999998</v>
      </c>
      <c r="E13" s="120"/>
      <c r="F13" s="120"/>
      <c r="G13" s="120"/>
      <c r="H13" s="114">
        <f>G13*D13</f>
        <v>0</v>
      </c>
      <c r="I13" s="120"/>
      <c r="J13" s="114">
        <f>I13*D13</f>
        <v>0</v>
      </c>
      <c r="K13" s="114">
        <f t="shared" ref="K13:K76" si="0">J13+H13+F13</f>
        <v>0</v>
      </c>
    </row>
    <row r="14" spans="1:11" x14ac:dyDescent="0.35">
      <c r="A14" s="195"/>
      <c r="B14" s="23" t="s">
        <v>214</v>
      </c>
      <c r="C14" s="113" t="s">
        <v>9</v>
      </c>
      <c r="D14" s="120">
        <v>16</v>
      </c>
      <c r="E14" s="120"/>
      <c r="F14" s="120">
        <f>E14*D14</f>
        <v>0</v>
      </c>
      <c r="G14" s="120"/>
      <c r="H14" s="120"/>
      <c r="I14" s="120"/>
      <c r="J14" s="120"/>
      <c r="K14" s="114">
        <f t="shared" si="0"/>
        <v>0</v>
      </c>
    </row>
    <row r="15" spans="1:11" x14ac:dyDescent="0.35">
      <c r="A15" s="195"/>
      <c r="B15" s="23" t="s">
        <v>224</v>
      </c>
      <c r="C15" s="113" t="s">
        <v>9</v>
      </c>
      <c r="D15" s="120">
        <v>10</v>
      </c>
      <c r="E15" s="120"/>
      <c r="F15" s="120">
        <f>E15*D15</f>
        <v>0</v>
      </c>
      <c r="G15" s="120"/>
      <c r="H15" s="120"/>
      <c r="I15" s="120"/>
      <c r="J15" s="120"/>
      <c r="K15" s="114">
        <f t="shared" si="0"/>
        <v>0</v>
      </c>
    </row>
    <row r="16" spans="1:11" x14ac:dyDescent="0.35">
      <c r="A16" s="195"/>
      <c r="B16" s="23" t="s">
        <v>134</v>
      </c>
      <c r="C16" s="113" t="s">
        <v>11</v>
      </c>
      <c r="D16" s="120">
        <v>2.5</v>
      </c>
      <c r="E16" s="120"/>
      <c r="F16" s="120">
        <f t="shared" ref="F16:F18" si="1">E16*D16</f>
        <v>0</v>
      </c>
      <c r="G16" s="120"/>
      <c r="H16" s="120"/>
      <c r="I16" s="120"/>
      <c r="J16" s="120"/>
      <c r="K16" s="114">
        <f t="shared" si="0"/>
        <v>0</v>
      </c>
    </row>
    <row r="17" spans="1:12" x14ac:dyDescent="0.35">
      <c r="A17" s="195"/>
      <c r="B17" s="23" t="s">
        <v>225</v>
      </c>
      <c r="C17" s="113" t="s">
        <v>19</v>
      </c>
      <c r="D17" s="120">
        <v>2</v>
      </c>
      <c r="E17" s="120"/>
      <c r="F17" s="120">
        <f t="shared" si="1"/>
        <v>0</v>
      </c>
      <c r="G17" s="120"/>
      <c r="H17" s="120"/>
      <c r="I17" s="120"/>
      <c r="J17" s="120"/>
      <c r="K17" s="114">
        <f t="shared" si="0"/>
        <v>0</v>
      </c>
    </row>
    <row r="18" spans="1:12" x14ac:dyDescent="0.35">
      <c r="A18" s="196"/>
      <c r="B18" s="23" t="s">
        <v>82</v>
      </c>
      <c r="C18" s="113" t="s">
        <v>10</v>
      </c>
      <c r="D18" s="120">
        <f>D13*0.8</f>
        <v>2.8759999999999999</v>
      </c>
      <c r="E18" s="120"/>
      <c r="F18" s="120">
        <f t="shared" si="1"/>
        <v>0</v>
      </c>
      <c r="G18" s="120"/>
      <c r="H18" s="120"/>
      <c r="I18" s="120"/>
      <c r="J18" s="120"/>
      <c r="K18" s="114">
        <f t="shared" si="0"/>
        <v>0</v>
      </c>
    </row>
    <row r="19" spans="1:12" x14ac:dyDescent="0.35">
      <c r="A19" s="118">
        <v>3</v>
      </c>
      <c r="B19" s="74" t="s">
        <v>217</v>
      </c>
      <c r="C19" s="9" t="s">
        <v>9</v>
      </c>
      <c r="D19" s="75">
        <v>2.2999999999999998</v>
      </c>
      <c r="E19" s="120"/>
      <c r="F19" s="120"/>
      <c r="G19" s="120"/>
      <c r="H19" s="120">
        <f t="shared" ref="H19:H39" si="2">G19*D19</f>
        <v>0</v>
      </c>
      <c r="I19" s="120"/>
      <c r="J19" s="120"/>
      <c r="K19" s="114">
        <f t="shared" si="0"/>
        <v>0</v>
      </c>
    </row>
    <row r="20" spans="1:12" x14ac:dyDescent="0.35">
      <c r="A20" s="118">
        <v>4</v>
      </c>
      <c r="B20" s="74" t="s">
        <v>135</v>
      </c>
      <c r="C20" s="9" t="s">
        <v>23</v>
      </c>
      <c r="D20" s="75">
        <v>2.2999999999999998</v>
      </c>
      <c r="E20" s="120"/>
      <c r="F20" s="120"/>
      <c r="G20" s="120"/>
      <c r="H20" s="120">
        <f t="shared" si="2"/>
        <v>0</v>
      </c>
      <c r="I20" s="120"/>
      <c r="J20" s="120"/>
      <c r="K20" s="114">
        <f t="shared" si="0"/>
        <v>0</v>
      </c>
    </row>
    <row r="21" spans="1:12" ht="45" customHeight="1" x14ac:dyDescent="0.35">
      <c r="A21" s="118">
        <v>5</v>
      </c>
      <c r="B21" s="117" t="s">
        <v>226</v>
      </c>
      <c r="C21" s="118" t="s">
        <v>23</v>
      </c>
      <c r="D21" s="60">
        <f>2.15*1.1</f>
        <v>2.3650000000000002</v>
      </c>
      <c r="E21" s="114"/>
      <c r="F21" s="114">
        <f>E21*D21</f>
        <v>0</v>
      </c>
      <c r="G21" s="114"/>
      <c r="H21" s="114">
        <f t="shared" si="2"/>
        <v>0</v>
      </c>
      <c r="I21" s="114"/>
      <c r="J21" s="114">
        <f>I21*D21</f>
        <v>0</v>
      </c>
      <c r="K21" s="114">
        <f t="shared" si="0"/>
        <v>0</v>
      </c>
      <c r="L21" s="77"/>
    </row>
    <row r="22" spans="1:12" ht="27" x14ac:dyDescent="0.35">
      <c r="A22" s="118">
        <v>6</v>
      </c>
      <c r="B22" s="25" t="s">
        <v>227</v>
      </c>
      <c r="C22" s="118" t="s">
        <v>23</v>
      </c>
      <c r="D22" s="60">
        <f>2*1*0.8</f>
        <v>1.6</v>
      </c>
      <c r="E22" s="114"/>
      <c r="F22" s="114">
        <f>E22*D22</f>
        <v>0</v>
      </c>
      <c r="G22" s="114"/>
      <c r="H22" s="114">
        <f t="shared" si="2"/>
        <v>0</v>
      </c>
      <c r="I22" s="114"/>
      <c r="J22" s="114">
        <f>I22*D22</f>
        <v>0</v>
      </c>
      <c r="K22" s="114">
        <f t="shared" si="0"/>
        <v>0</v>
      </c>
    </row>
    <row r="23" spans="1:12" ht="27" x14ac:dyDescent="0.35">
      <c r="A23" s="194">
        <v>7</v>
      </c>
      <c r="B23" s="25" t="s">
        <v>228</v>
      </c>
      <c r="C23" s="118" t="s">
        <v>9</v>
      </c>
      <c r="D23" s="60">
        <v>25.6</v>
      </c>
      <c r="E23" s="114"/>
      <c r="F23" s="114"/>
      <c r="G23" s="114"/>
      <c r="H23" s="114">
        <f t="shared" si="2"/>
        <v>0</v>
      </c>
      <c r="I23" s="114"/>
      <c r="J23" s="114"/>
      <c r="K23" s="114">
        <f t="shared" si="0"/>
        <v>0</v>
      </c>
    </row>
    <row r="24" spans="1:12" x14ac:dyDescent="0.35">
      <c r="A24" s="195"/>
      <c r="B24" s="125" t="s">
        <v>229</v>
      </c>
      <c r="C24" s="115" t="s">
        <v>230</v>
      </c>
      <c r="D24" s="114">
        <f>D23*0.0063</f>
        <v>0.16128000000000001</v>
      </c>
      <c r="E24" s="114"/>
      <c r="F24" s="114">
        <f>E24*D24</f>
        <v>0</v>
      </c>
      <c r="G24" s="114"/>
      <c r="H24" s="114"/>
      <c r="I24" s="114"/>
      <c r="J24" s="114"/>
      <c r="K24" s="114">
        <f t="shared" si="0"/>
        <v>0</v>
      </c>
    </row>
    <row r="25" spans="1:12" x14ac:dyDescent="0.35">
      <c r="A25" s="195"/>
      <c r="B25" s="125" t="s">
        <v>231</v>
      </c>
      <c r="C25" s="115" t="s">
        <v>29</v>
      </c>
      <c r="D25" s="114">
        <f>D23*0.0018</f>
        <v>4.6080000000000003E-2</v>
      </c>
      <c r="E25" s="114"/>
      <c r="F25" s="114">
        <f t="shared" ref="F25:F26" si="3">E25*D25</f>
        <v>0</v>
      </c>
      <c r="G25" s="114"/>
      <c r="H25" s="114"/>
      <c r="I25" s="114"/>
      <c r="J25" s="114"/>
      <c r="K25" s="114">
        <f t="shared" si="0"/>
        <v>0</v>
      </c>
    </row>
    <row r="26" spans="1:12" x14ac:dyDescent="0.35">
      <c r="A26" s="196"/>
      <c r="B26" s="125" t="s">
        <v>26</v>
      </c>
      <c r="C26" s="115" t="s">
        <v>10</v>
      </c>
      <c r="D26" s="114">
        <f>D23*0.1</f>
        <v>2.5600000000000005</v>
      </c>
      <c r="E26" s="114"/>
      <c r="F26" s="114">
        <f t="shared" si="3"/>
        <v>0</v>
      </c>
      <c r="G26" s="114"/>
      <c r="H26" s="114"/>
      <c r="I26" s="114"/>
      <c r="J26" s="114"/>
      <c r="K26" s="114">
        <f t="shared" si="0"/>
        <v>0</v>
      </c>
    </row>
    <row r="27" spans="1:12" ht="27" x14ac:dyDescent="0.35">
      <c r="A27" s="118">
        <v>8</v>
      </c>
      <c r="B27" s="25" t="s">
        <v>232</v>
      </c>
      <c r="C27" s="118" t="s">
        <v>9</v>
      </c>
      <c r="D27" s="60">
        <v>2</v>
      </c>
      <c r="E27" s="114"/>
      <c r="F27" s="114">
        <f>E27*D27</f>
        <v>0</v>
      </c>
      <c r="G27" s="114"/>
      <c r="H27" s="114">
        <f t="shared" si="2"/>
        <v>0</v>
      </c>
      <c r="I27" s="114"/>
      <c r="J27" s="114">
        <f>I27*D27</f>
        <v>0</v>
      </c>
      <c r="K27" s="114">
        <f t="shared" si="0"/>
        <v>0</v>
      </c>
    </row>
    <row r="28" spans="1:12" ht="27" x14ac:dyDescent="0.35">
      <c r="A28" s="194">
        <v>9</v>
      </c>
      <c r="B28" s="25" t="s">
        <v>233</v>
      </c>
      <c r="C28" s="118" t="s">
        <v>23</v>
      </c>
      <c r="D28" s="60">
        <f>2.3*1.2</f>
        <v>2.76</v>
      </c>
      <c r="E28" s="114"/>
      <c r="F28" s="114"/>
      <c r="G28" s="114"/>
      <c r="H28" s="114">
        <f t="shared" si="2"/>
        <v>0</v>
      </c>
      <c r="I28" s="114"/>
      <c r="J28" s="114">
        <f>I28*D28</f>
        <v>0</v>
      </c>
      <c r="K28" s="114">
        <f t="shared" si="0"/>
        <v>0</v>
      </c>
    </row>
    <row r="29" spans="1:12" x14ac:dyDescent="0.35">
      <c r="A29" s="195"/>
      <c r="B29" s="125" t="s">
        <v>234</v>
      </c>
      <c r="C29" s="115" t="s">
        <v>9</v>
      </c>
      <c r="D29" s="114">
        <v>18</v>
      </c>
      <c r="E29" s="114"/>
      <c r="F29" s="114">
        <f>E29*D29</f>
        <v>0</v>
      </c>
      <c r="G29" s="114"/>
      <c r="H29" s="114"/>
      <c r="I29" s="114"/>
      <c r="J29" s="114"/>
      <c r="K29" s="114">
        <f t="shared" si="0"/>
        <v>0</v>
      </c>
    </row>
    <row r="30" spans="1:12" x14ac:dyDescent="0.35">
      <c r="A30" s="195"/>
      <c r="B30" s="125" t="s">
        <v>235</v>
      </c>
      <c r="C30" s="115" t="s">
        <v>83</v>
      </c>
      <c r="D30" s="114">
        <v>3.5</v>
      </c>
      <c r="E30" s="114"/>
      <c r="F30" s="114">
        <f t="shared" ref="F30:F34" si="4">E30*D30</f>
        <v>0</v>
      </c>
      <c r="G30" s="114"/>
      <c r="H30" s="114"/>
      <c r="I30" s="114"/>
      <c r="J30" s="114"/>
      <c r="K30" s="114">
        <f t="shared" si="0"/>
        <v>0</v>
      </c>
    </row>
    <row r="31" spans="1:12" x14ac:dyDescent="0.35">
      <c r="A31" s="195"/>
      <c r="B31" s="125" t="s">
        <v>236</v>
      </c>
      <c r="C31" s="115" t="s">
        <v>19</v>
      </c>
      <c r="D31" s="114">
        <v>6</v>
      </c>
      <c r="E31" s="114"/>
      <c r="F31" s="114">
        <f t="shared" si="4"/>
        <v>0</v>
      </c>
      <c r="G31" s="114"/>
      <c r="H31" s="114"/>
      <c r="I31" s="114"/>
      <c r="J31" s="114"/>
      <c r="K31" s="114">
        <f t="shared" si="0"/>
        <v>0</v>
      </c>
    </row>
    <row r="32" spans="1:12" x14ac:dyDescent="0.35">
      <c r="A32" s="195"/>
      <c r="B32" s="23" t="s">
        <v>134</v>
      </c>
      <c r="C32" s="113" t="s">
        <v>11</v>
      </c>
      <c r="D32" s="120">
        <v>2.5</v>
      </c>
      <c r="E32" s="120"/>
      <c r="F32" s="114">
        <f t="shared" si="4"/>
        <v>0</v>
      </c>
      <c r="G32" s="120"/>
      <c r="H32" s="120"/>
      <c r="I32" s="120"/>
      <c r="J32" s="120"/>
      <c r="K32" s="114">
        <f t="shared" si="0"/>
        <v>0</v>
      </c>
    </row>
    <row r="33" spans="1:11" x14ac:dyDescent="0.35">
      <c r="A33" s="195"/>
      <c r="B33" s="23" t="s">
        <v>225</v>
      </c>
      <c r="C33" s="113" t="s">
        <v>19</v>
      </c>
      <c r="D33" s="120">
        <v>2</v>
      </c>
      <c r="E33" s="120"/>
      <c r="F33" s="120">
        <f t="shared" si="4"/>
        <v>0</v>
      </c>
      <c r="G33" s="120"/>
      <c r="H33" s="120"/>
      <c r="I33" s="120"/>
      <c r="J33" s="120"/>
      <c r="K33" s="114">
        <f t="shared" si="0"/>
        <v>0</v>
      </c>
    </row>
    <row r="34" spans="1:11" x14ac:dyDescent="0.35">
      <c r="A34" s="196"/>
      <c r="B34" s="23" t="s">
        <v>82</v>
      </c>
      <c r="C34" s="113" t="s">
        <v>10</v>
      </c>
      <c r="D34" s="120">
        <f>D29*0.8</f>
        <v>14.4</v>
      </c>
      <c r="E34" s="120"/>
      <c r="F34" s="120">
        <f t="shared" si="4"/>
        <v>0</v>
      </c>
      <c r="G34" s="120"/>
      <c r="H34" s="120"/>
      <c r="I34" s="120"/>
      <c r="J34" s="120"/>
      <c r="K34" s="114">
        <f t="shared" si="0"/>
        <v>0</v>
      </c>
    </row>
    <row r="35" spans="1:11" ht="27" x14ac:dyDescent="0.35">
      <c r="A35" s="149">
        <v>10</v>
      </c>
      <c r="B35" s="25" t="s">
        <v>237</v>
      </c>
      <c r="C35" s="118" t="s">
        <v>23</v>
      </c>
      <c r="D35" s="60">
        <f>(0.04+0.06)*2*18</f>
        <v>3.6</v>
      </c>
      <c r="E35" s="114"/>
      <c r="F35" s="114"/>
      <c r="G35" s="114"/>
      <c r="H35" s="114">
        <f>G35*D35</f>
        <v>0</v>
      </c>
      <c r="I35" s="114"/>
      <c r="J35" s="114">
        <f>I35*D35</f>
        <v>0</v>
      </c>
      <c r="K35" s="114">
        <f t="shared" si="0"/>
        <v>0</v>
      </c>
    </row>
    <row r="36" spans="1:11" x14ac:dyDescent="0.35">
      <c r="A36" s="149"/>
      <c r="B36" s="23" t="s">
        <v>238</v>
      </c>
      <c r="C36" s="113" t="s">
        <v>11</v>
      </c>
      <c r="D36" s="120">
        <f>D35*0.35</f>
        <v>1.26</v>
      </c>
      <c r="E36" s="120"/>
      <c r="F36" s="120">
        <f>E36*D36</f>
        <v>0</v>
      </c>
      <c r="G36" s="120"/>
      <c r="H36" s="120"/>
      <c r="I36" s="120"/>
      <c r="J36" s="120"/>
      <c r="K36" s="114">
        <f t="shared" si="0"/>
        <v>0</v>
      </c>
    </row>
    <row r="37" spans="1:11" x14ac:dyDescent="0.35">
      <c r="A37" s="149"/>
      <c r="B37" s="23" t="s">
        <v>239</v>
      </c>
      <c r="C37" s="113" t="s">
        <v>11</v>
      </c>
      <c r="D37" s="120">
        <f>D35*0.04</f>
        <v>0.14400000000000002</v>
      </c>
      <c r="E37" s="120"/>
      <c r="F37" s="120">
        <f t="shared" ref="F37:F38" si="5">E37*D37</f>
        <v>0</v>
      </c>
      <c r="G37" s="120"/>
      <c r="H37" s="120"/>
      <c r="I37" s="120"/>
      <c r="J37" s="120"/>
      <c r="K37" s="114">
        <f t="shared" si="0"/>
        <v>0</v>
      </c>
    </row>
    <row r="38" spans="1:11" x14ac:dyDescent="0.35">
      <c r="A38" s="149"/>
      <c r="B38" s="23" t="s">
        <v>82</v>
      </c>
      <c r="C38" s="113" t="s">
        <v>10</v>
      </c>
      <c r="D38" s="120">
        <f>D35*0.2</f>
        <v>0.72000000000000008</v>
      </c>
      <c r="E38" s="120"/>
      <c r="F38" s="120">
        <f t="shared" si="5"/>
        <v>0</v>
      </c>
      <c r="G38" s="120"/>
      <c r="H38" s="120"/>
      <c r="I38" s="120"/>
      <c r="J38" s="120"/>
      <c r="K38" s="114">
        <f t="shared" si="0"/>
        <v>0</v>
      </c>
    </row>
    <row r="39" spans="1:11" x14ac:dyDescent="0.35">
      <c r="A39" s="194">
        <v>11</v>
      </c>
      <c r="B39" s="156" t="s">
        <v>137</v>
      </c>
      <c r="C39" s="118" t="s">
        <v>23</v>
      </c>
      <c r="D39" s="60">
        <v>2.2999999999999998</v>
      </c>
      <c r="E39" s="114"/>
      <c r="F39" s="114"/>
      <c r="G39" s="114"/>
      <c r="H39" s="114">
        <f t="shared" si="2"/>
        <v>0</v>
      </c>
      <c r="I39" s="114"/>
      <c r="J39" s="114"/>
      <c r="K39" s="114">
        <f t="shared" si="0"/>
        <v>0</v>
      </c>
    </row>
    <row r="40" spans="1:11" x14ac:dyDescent="0.35">
      <c r="A40" s="196"/>
      <c r="B40" s="23" t="s">
        <v>136</v>
      </c>
      <c r="C40" s="118" t="s">
        <v>132</v>
      </c>
      <c r="D40" s="60">
        <f>D39*0.1*1.22</f>
        <v>0.28059999999999996</v>
      </c>
      <c r="E40" s="120"/>
      <c r="F40" s="120">
        <f>E40*D40</f>
        <v>0</v>
      </c>
      <c r="G40" s="120"/>
      <c r="H40" s="120"/>
      <c r="I40" s="120"/>
      <c r="J40" s="120"/>
      <c r="K40" s="114">
        <f t="shared" si="0"/>
        <v>0</v>
      </c>
    </row>
    <row r="41" spans="1:11" x14ac:dyDescent="0.35">
      <c r="A41" s="194">
        <v>12</v>
      </c>
      <c r="B41" s="25" t="s">
        <v>138</v>
      </c>
      <c r="C41" s="118" t="s">
        <v>132</v>
      </c>
      <c r="D41" s="75">
        <f>2.3*0.1</f>
        <v>0.22999999999999998</v>
      </c>
      <c r="E41" s="120"/>
      <c r="F41" s="120"/>
      <c r="G41" s="120"/>
      <c r="H41" s="120">
        <f>G41*D41</f>
        <v>0</v>
      </c>
      <c r="I41" s="120"/>
      <c r="J41" s="120"/>
      <c r="K41" s="114">
        <f t="shared" si="0"/>
        <v>0</v>
      </c>
    </row>
    <row r="42" spans="1:11" x14ac:dyDescent="0.35">
      <c r="A42" s="195"/>
      <c r="B42" s="23" t="s">
        <v>240</v>
      </c>
      <c r="C42" s="118" t="s">
        <v>132</v>
      </c>
      <c r="D42" s="157">
        <f>D41*1.02</f>
        <v>0.23459999999999998</v>
      </c>
      <c r="E42" s="120"/>
      <c r="F42" s="120">
        <f>E42*D42</f>
        <v>0</v>
      </c>
      <c r="G42" s="120"/>
      <c r="H42" s="120"/>
      <c r="I42" s="120"/>
      <c r="J42" s="120"/>
      <c r="K42" s="114">
        <f t="shared" si="0"/>
        <v>0</v>
      </c>
    </row>
    <row r="43" spans="1:11" x14ac:dyDescent="0.35">
      <c r="A43" s="196"/>
      <c r="B43" s="23" t="s">
        <v>82</v>
      </c>
      <c r="C43" s="113" t="s">
        <v>10</v>
      </c>
      <c r="D43" s="120">
        <v>4</v>
      </c>
      <c r="E43" s="120"/>
      <c r="F43" s="120">
        <f>E43*D43</f>
        <v>0</v>
      </c>
      <c r="G43" s="120"/>
      <c r="H43" s="120"/>
      <c r="I43" s="120"/>
      <c r="J43" s="120"/>
      <c r="K43" s="114">
        <f t="shared" si="0"/>
        <v>0</v>
      </c>
    </row>
    <row r="44" spans="1:11" x14ac:dyDescent="0.35">
      <c r="A44" s="203">
        <v>13</v>
      </c>
      <c r="B44" s="45" t="s">
        <v>139</v>
      </c>
      <c r="C44" s="37" t="s">
        <v>8</v>
      </c>
      <c r="D44" s="38">
        <v>2.5</v>
      </c>
      <c r="E44" s="39"/>
      <c r="F44" s="116"/>
      <c r="G44" s="116"/>
      <c r="H44" s="40">
        <f t="shared" ref="H44" si="6">G44*D44</f>
        <v>0</v>
      </c>
      <c r="I44" s="116"/>
      <c r="J44" s="41">
        <f t="shared" ref="J44:J46" si="7">I44*D44</f>
        <v>0</v>
      </c>
      <c r="K44" s="40">
        <f t="shared" si="0"/>
        <v>0</v>
      </c>
    </row>
    <row r="45" spans="1:11" x14ac:dyDescent="0.35">
      <c r="A45" s="193"/>
      <c r="B45" s="44" t="s">
        <v>140</v>
      </c>
      <c r="C45" s="43" t="s">
        <v>8</v>
      </c>
      <c r="D45" s="158">
        <f>1.05*D44</f>
        <v>2.625</v>
      </c>
      <c r="E45" s="116"/>
      <c r="F45" s="116">
        <f t="shared" ref="F45:F49" si="8">E45*D45</f>
        <v>0</v>
      </c>
      <c r="G45" s="116"/>
      <c r="H45" s="40"/>
      <c r="I45" s="116"/>
      <c r="J45" s="41"/>
      <c r="K45" s="40">
        <f t="shared" si="0"/>
        <v>0</v>
      </c>
    </row>
    <row r="46" spans="1:11" x14ac:dyDescent="0.35">
      <c r="A46" s="193"/>
      <c r="B46" s="44" t="s">
        <v>241</v>
      </c>
      <c r="C46" s="43" t="s">
        <v>11</v>
      </c>
      <c r="D46" s="116">
        <f>6*D44</f>
        <v>15</v>
      </c>
      <c r="E46" s="116"/>
      <c r="F46" s="116">
        <f t="shared" si="8"/>
        <v>0</v>
      </c>
      <c r="G46" s="116"/>
      <c r="H46" s="40"/>
      <c r="I46" s="116"/>
      <c r="J46" s="41">
        <f t="shared" si="7"/>
        <v>0</v>
      </c>
      <c r="K46" s="40">
        <f t="shared" si="0"/>
        <v>0</v>
      </c>
    </row>
    <row r="47" spans="1:11" x14ac:dyDescent="0.35">
      <c r="A47" s="193"/>
      <c r="B47" s="22" t="s">
        <v>67</v>
      </c>
      <c r="C47" s="119" t="s">
        <v>38</v>
      </c>
      <c r="D47" s="21">
        <f>D44*0.1</f>
        <v>0.25</v>
      </c>
      <c r="E47" s="21"/>
      <c r="F47" s="114">
        <f t="shared" si="8"/>
        <v>0</v>
      </c>
      <c r="G47" s="21"/>
      <c r="H47" s="114"/>
      <c r="I47" s="21"/>
      <c r="J47" s="114"/>
      <c r="K47" s="114">
        <f t="shared" si="0"/>
        <v>0</v>
      </c>
    </row>
    <row r="48" spans="1:11" x14ac:dyDescent="0.35">
      <c r="A48" s="193"/>
      <c r="B48" s="44" t="s">
        <v>117</v>
      </c>
      <c r="C48" s="43" t="s">
        <v>11</v>
      </c>
      <c r="D48" s="116">
        <f>0.04*D44</f>
        <v>0.1</v>
      </c>
      <c r="E48" s="116"/>
      <c r="F48" s="116">
        <f t="shared" si="8"/>
        <v>0</v>
      </c>
      <c r="G48" s="116"/>
      <c r="H48" s="40"/>
      <c r="I48" s="116"/>
      <c r="J48" s="41"/>
      <c r="K48" s="40">
        <f t="shared" si="0"/>
        <v>0</v>
      </c>
    </row>
    <row r="49" spans="1:11" x14ac:dyDescent="0.35">
      <c r="A49" s="186"/>
      <c r="B49" s="44" t="s">
        <v>26</v>
      </c>
      <c r="C49" s="43" t="s">
        <v>10</v>
      </c>
      <c r="D49" s="116">
        <f>(D44)*0.03</f>
        <v>7.4999999999999997E-2</v>
      </c>
      <c r="E49" s="116"/>
      <c r="F49" s="116">
        <f t="shared" si="8"/>
        <v>0</v>
      </c>
      <c r="G49" s="116"/>
      <c r="H49" s="40"/>
      <c r="I49" s="116"/>
      <c r="J49" s="41"/>
      <c r="K49" s="40">
        <f t="shared" si="0"/>
        <v>0</v>
      </c>
    </row>
    <row r="50" spans="1:11" ht="27" x14ac:dyDescent="0.35">
      <c r="A50" s="172">
        <v>14</v>
      </c>
      <c r="B50" s="45" t="s">
        <v>171</v>
      </c>
      <c r="C50" s="37" t="s">
        <v>19</v>
      </c>
      <c r="D50" s="38">
        <v>1</v>
      </c>
      <c r="E50" s="116"/>
      <c r="F50" s="116"/>
      <c r="G50" s="116"/>
      <c r="H50" s="40">
        <f>G50*D50</f>
        <v>0</v>
      </c>
      <c r="I50" s="116"/>
      <c r="J50" s="41"/>
      <c r="K50" s="40">
        <f t="shared" si="0"/>
        <v>0</v>
      </c>
    </row>
    <row r="51" spans="1:11" ht="27" x14ac:dyDescent="0.35">
      <c r="A51" s="118">
        <v>15</v>
      </c>
      <c r="B51" s="25" t="s">
        <v>242</v>
      </c>
      <c r="C51" s="37" t="s">
        <v>8</v>
      </c>
      <c r="D51" s="60">
        <f>0.9*2.15*2</f>
        <v>3.87</v>
      </c>
      <c r="E51" s="114"/>
      <c r="F51" s="114"/>
      <c r="G51" s="114"/>
      <c r="H51" s="114">
        <f>G51*D51</f>
        <v>0</v>
      </c>
      <c r="I51" s="114"/>
      <c r="J51" s="114"/>
      <c r="K51" s="40">
        <f t="shared" si="0"/>
        <v>0</v>
      </c>
    </row>
    <row r="52" spans="1:11" x14ac:dyDescent="0.35">
      <c r="A52" s="118">
        <v>16</v>
      </c>
      <c r="B52" s="25" t="s">
        <v>142</v>
      </c>
      <c r="C52" s="37" t="s">
        <v>8</v>
      </c>
      <c r="D52" s="60">
        <v>21</v>
      </c>
      <c r="E52" s="114"/>
      <c r="F52" s="114"/>
      <c r="G52" s="114"/>
      <c r="H52" s="114">
        <f>G52*D52</f>
        <v>0</v>
      </c>
      <c r="I52" s="114"/>
      <c r="J52" s="114"/>
      <c r="K52" s="40">
        <f t="shared" si="0"/>
        <v>0</v>
      </c>
    </row>
    <row r="53" spans="1:11" ht="27" x14ac:dyDescent="0.35">
      <c r="A53" s="118">
        <v>17</v>
      </c>
      <c r="B53" s="25" t="s">
        <v>243</v>
      </c>
      <c r="C53" s="37" t="s">
        <v>8</v>
      </c>
      <c r="D53" s="60">
        <f>0.9*2.15</f>
        <v>1.9350000000000001</v>
      </c>
      <c r="E53" s="114"/>
      <c r="F53" s="114"/>
      <c r="G53" s="114"/>
      <c r="H53" s="114">
        <f>G53*D53</f>
        <v>0</v>
      </c>
      <c r="I53" s="114"/>
      <c r="J53" s="114"/>
      <c r="K53" s="40">
        <f t="shared" si="0"/>
        <v>0</v>
      </c>
    </row>
    <row r="54" spans="1:11" ht="27" x14ac:dyDescent="0.35">
      <c r="A54" s="118">
        <v>18</v>
      </c>
      <c r="B54" s="25" t="s">
        <v>244</v>
      </c>
      <c r="C54" s="37" t="s">
        <v>19</v>
      </c>
      <c r="D54" s="60">
        <v>14</v>
      </c>
      <c r="E54" s="114"/>
      <c r="F54" s="114"/>
      <c r="G54" s="114"/>
      <c r="H54" s="114">
        <f t="shared" ref="H54:H56" si="9">G54*D54</f>
        <v>0</v>
      </c>
      <c r="I54" s="114"/>
      <c r="J54" s="114"/>
      <c r="K54" s="40">
        <f t="shared" si="0"/>
        <v>0</v>
      </c>
    </row>
    <row r="55" spans="1:11" ht="27" x14ac:dyDescent="0.35">
      <c r="A55" s="118">
        <v>19</v>
      </c>
      <c r="B55" s="25" t="s">
        <v>245</v>
      </c>
      <c r="C55" s="37" t="s">
        <v>8</v>
      </c>
      <c r="D55" s="60">
        <v>90</v>
      </c>
      <c r="E55" s="114"/>
      <c r="F55" s="114"/>
      <c r="G55" s="114"/>
      <c r="H55" s="114">
        <f t="shared" si="9"/>
        <v>0</v>
      </c>
      <c r="I55" s="114"/>
      <c r="J55" s="114"/>
      <c r="K55" s="40">
        <f t="shared" si="0"/>
        <v>0</v>
      </c>
    </row>
    <row r="56" spans="1:11" ht="27" x14ac:dyDescent="0.35">
      <c r="A56" s="118">
        <v>20</v>
      </c>
      <c r="B56" s="25" t="s">
        <v>246</v>
      </c>
      <c r="C56" s="37" t="s">
        <v>21</v>
      </c>
      <c r="D56" s="60">
        <v>1</v>
      </c>
      <c r="E56" s="114"/>
      <c r="F56" s="114"/>
      <c r="G56" s="114"/>
      <c r="H56" s="114">
        <f t="shared" si="9"/>
        <v>0</v>
      </c>
      <c r="I56" s="114"/>
      <c r="J56" s="114"/>
      <c r="K56" s="40">
        <f t="shared" si="0"/>
        <v>0</v>
      </c>
    </row>
    <row r="57" spans="1:11" x14ac:dyDescent="0.35">
      <c r="A57" s="118">
        <v>21</v>
      </c>
      <c r="B57" s="25" t="s">
        <v>247</v>
      </c>
      <c r="C57" s="37" t="s">
        <v>8</v>
      </c>
      <c r="D57" s="60">
        <v>1.6</v>
      </c>
      <c r="E57" s="114"/>
      <c r="F57" s="114"/>
      <c r="G57" s="114"/>
      <c r="H57" s="114">
        <f>G57*D57</f>
        <v>0</v>
      </c>
      <c r="I57" s="114"/>
      <c r="J57" s="114"/>
      <c r="K57" s="40">
        <f t="shared" si="0"/>
        <v>0</v>
      </c>
    </row>
    <row r="58" spans="1:11" ht="40.5" x14ac:dyDescent="0.35">
      <c r="A58" s="118">
        <v>22</v>
      </c>
      <c r="B58" s="25" t="s">
        <v>179</v>
      </c>
      <c r="C58" s="37" t="s">
        <v>8</v>
      </c>
      <c r="D58" s="60">
        <v>6.8</v>
      </c>
      <c r="E58" s="114"/>
      <c r="F58" s="114"/>
      <c r="G58" s="114"/>
      <c r="H58" s="114">
        <f>G58*D58</f>
        <v>0</v>
      </c>
      <c r="I58" s="114"/>
      <c r="J58" s="114"/>
      <c r="K58" s="40">
        <f t="shared" si="0"/>
        <v>0</v>
      </c>
    </row>
    <row r="59" spans="1:11" x14ac:dyDescent="0.35">
      <c r="A59" s="118">
        <v>23</v>
      </c>
      <c r="B59" s="74" t="s">
        <v>248</v>
      </c>
      <c r="C59" s="37" t="s">
        <v>8</v>
      </c>
      <c r="D59" s="75">
        <f>4.09*3</f>
        <v>12.27</v>
      </c>
      <c r="E59" s="120"/>
      <c r="F59" s="120"/>
      <c r="G59" s="120"/>
      <c r="H59" s="114">
        <f>G59*D59</f>
        <v>0</v>
      </c>
      <c r="I59" s="120"/>
      <c r="J59" s="120"/>
      <c r="K59" s="40">
        <f t="shared" si="0"/>
        <v>0</v>
      </c>
    </row>
    <row r="60" spans="1:11" ht="27" x14ac:dyDescent="0.35">
      <c r="A60" s="194">
        <v>24</v>
      </c>
      <c r="B60" s="25" t="s">
        <v>146</v>
      </c>
      <c r="C60" s="37" t="s">
        <v>8</v>
      </c>
      <c r="D60" s="60">
        <v>11</v>
      </c>
      <c r="E60" s="114"/>
      <c r="F60" s="114"/>
      <c r="G60" s="114"/>
      <c r="H60" s="114">
        <f>G60*D60</f>
        <v>0</v>
      </c>
      <c r="I60" s="114"/>
      <c r="J60" s="114">
        <f>I60*D60</f>
        <v>0</v>
      </c>
      <c r="K60" s="40">
        <f t="shared" si="0"/>
        <v>0</v>
      </c>
    </row>
    <row r="61" spans="1:11" x14ac:dyDescent="0.35">
      <c r="A61" s="195"/>
      <c r="B61" s="34" t="s">
        <v>249</v>
      </c>
      <c r="C61" s="43" t="s">
        <v>8</v>
      </c>
      <c r="D61" s="114">
        <f>(D59*2+D60)*1.05</f>
        <v>37.317</v>
      </c>
      <c r="E61" s="114"/>
      <c r="F61" s="114">
        <f>E61*D61</f>
        <v>0</v>
      </c>
      <c r="G61" s="114"/>
      <c r="H61" s="114"/>
      <c r="I61" s="114"/>
      <c r="J61" s="114"/>
      <c r="K61" s="40">
        <f t="shared" si="0"/>
        <v>0</v>
      </c>
    </row>
    <row r="62" spans="1:11" x14ac:dyDescent="0.35">
      <c r="A62" s="195"/>
      <c r="B62" s="34" t="s">
        <v>250</v>
      </c>
      <c r="C62" s="43" t="s">
        <v>8</v>
      </c>
      <c r="D62" s="114">
        <f>D60*1.05</f>
        <v>11.55</v>
      </c>
      <c r="E62" s="114"/>
      <c r="F62" s="114">
        <f t="shared" ref="F62:F65" si="10">E62*D62</f>
        <v>0</v>
      </c>
      <c r="G62" s="114"/>
      <c r="H62" s="114"/>
      <c r="I62" s="114"/>
      <c r="J62" s="114"/>
      <c r="K62" s="40">
        <f t="shared" si="0"/>
        <v>0</v>
      </c>
    </row>
    <row r="63" spans="1:11" ht="27" x14ac:dyDescent="0.35">
      <c r="A63" s="195"/>
      <c r="B63" s="7" t="s">
        <v>27</v>
      </c>
      <c r="C63" s="119" t="s">
        <v>8</v>
      </c>
      <c r="D63" s="114">
        <f>D59+D60</f>
        <v>23.27</v>
      </c>
      <c r="E63" s="114"/>
      <c r="F63" s="114">
        <f t="shared" si="10"/>
        <v>0</v>
      </c>
      <c r="G63" s="114"/>
      <c r="H63" s="114"/>
      <c r="I63" s="114"/>
      <c r="J63" s="114"/>
      <c r="K63" s="40">
        <f t="shared" si="0"/>
        <v>0</v>
      </c>
    </row>
    <row r="64" spans="1:11" x14ac:dyDescent="0.35">
      <c r="A64" s="195"/>
      <c r="B64" s="35" t="s">
        <v>64</v>
      </c>
      <c r="C64" s="119" t="s">
        <v>8</v>
      </c>
      <c r="D64" s="114">
        <f>D63</f>
        <v>23.27</v>
      </c>
      <c r="E64" s="114"/>
      <c r="F64" s="114">
        <f t="shared" si="10"/>
        <v>0</v>
      </c>
      <c r="G64" s="114"/>
      <c r="H64" s="114"/>
      <c r="I64" s="114"/>
      <c r="J64" s="114"/>
      <c r="K64" s="40">
        <f t="shared" si="0"/>
        <v>0</v>
      </c>
    </row>
    <row r="65" spans="1:11" x14ac:dyDescent="0.35">
      <c r="A65" s="196"/>
      <c r="B65" s="35" t="s">
        <v>26</v>
      </c>
      <c r="C65" s="119" t="s">
        <v>10</v>
      </c>
      <c r="D65" s="114">
        <f>D64*0.1</f>
        <v>2.327</v>
      </c>
      <c r="E65" s="114"/>
      <c r="F65" s="114">
        <f t="shared" si="10"/>
        <v>0</v>
      </c>
      <c r="G65" s="114"/>
      <c r="H65" s="114"/>
      <c r="I65" s="114"/>
      <c r="J65" s="114"/>
      <c r="K65" s="40">
        <f t="shared" si="0"/>
        <v>0</v>
      </c>
    </row>
    <row r="66" spans="1:11" ht="27" x14ac:dyDescent="0.35">
      <c r="A66" s="224" t="s">
        <v>31</v>
      </c>
      <c r="B66" s="98" t="s">
        <v>251</v>
      </c>
      <c r="C66" s="37" t="s">
        <v>8</v>
      </c>
      <c r="D66" s="38">
        <v>12</v>
      </c>
      <c r="E66" s="39"/>
      <c r="F66" s="116"/>
      <c r="G66" s="21"/>
      <c r="H66" s="114">
        <f t="shared" ref="H66" si="11">G66*D66</f>
        <v>0</v>
      </c>
      <c r="I66" s="21"/>
      <c r="J66" s="114">
        <f t="shared" ref="J66" si="12">I66*D66</f>
        <v>0</v>
      </c>
      <c r="K66" s="114">
        <f t="shared" si="0"/>
        <v>0</v>
      </c>
    </row>
    <row r="67" spans="1:11" x14ac:dyDescent="0.35">
      <c r="A67" s="205"/>
      <c r="B67" s="99" t="s">
        <v>144</v>
      </c>
      <c r="C67" s="43" t="s">
        <v>8</v>
      </c>
      <c r="D67" s="116">
        <f>D66*1.05</f>
        <v>12.600000000000001</v>
      </c>
      <c r="E67" s="116"/>
      <c r="F67" s="116">
        <f t="shared" ref="F67:F69" si="13">E67*D67</f>
        <v>0</v>
      </c>
      <c r="G67" s="116"/>
      <c r="H67" s="40"/>
      <c r="I67" s="116"/>
      <c r="J67" s="41"/>
      <c r="K67" s="40">
        <f t="shared" si="0"/>
        <v>0</v>
      </c>
    </row>
    <row r="68" spans="1:11" x14ac:dyDescent="0.35">
      <c r="A68" s="205"/>
      <c r="B68" s="99" t="s">
        <v>145</v>
      </c>
      <c r="C68" s="43" t="s">
        <v>8</v>
      </c>
      <c r="D68" s="116">
        <f>D66</f>
        <v>12</v>
      </c>
      <c r="E68" s="116"/>
      <c r="F68" s="116">
        <f t="shared" si="13"/>
        <v>0</v>
      </c>
      <c r="G68" s="116"/>
      <c r="H68" s="40"/>
      <c r="I68" s="116"/>
      <c r="J68" s="41"/>
      <c r="K68" s="40">
        <f t="shared" si="0"/>
        <v>0</v>
      </c>
    </row>
    <row r="69" spans="1:11" x14ac:dyDescent="0.35">
      <c r="A69" s="206"/>
      <c r="B69" s="44" t="s">
        <v>26</v>
      </c>
      <c r="C69" s="43" t="s">
        <v>10</v>
      </c>
      <c r="D69" s="116">
        <f>D64*0.05+D66*0.05</f>
        <v>1.7635000000000001</v>
      </c>
      <c r="E69" s="116"/>
      <c r="F69" s="116">
        <f t="shared" si="13"/>
        <v>0</v>
      </c>
      <c r="G69" s="116"/>
      <c r="H69" s="40"/>
      <c r="I69" s="116"/>
      <c r="J69" s="41"/>
      <c r="K69" s="40">
        <f t="shared" si="0"/>
        <v>0</v>
      </c>
    </row>
    <row r="70" spans="1:11" x14ac:dyDescent="0.35">
      <c r="A70" s="118">
        <v>26</v>
      </c>
      <c r="B70" s="25" t="s">
        <v>141</v>
      </c>
      <c r="C70" s="37" t="s">
        <v>8</v>
      </c>
      <c r="D70" s="60">
        <f>0.9*2.15</f>
        <v>1.9350000000000001</v>
      </c>
      <c r="E70" s="114"/>
      <c r="F70" s="114">
        <f>E70*D70</f>
        <v>0</v>
      </c>
      <c r="G70" s="114"/>
      <c r="H70" s="114">
        <f>G70*D70</f>
        <v>0</v>
      </c>
      <c r="I70" s="114"/>
      <c r="J70" s="114">
        <f>I70*D70</f>
        <v>0</v>
      </c>
      <c r="K70" s="40">
        <f t="shared" si="0"/>
        <v>0</v>
      </c>
    </row>
    <row r="71" spans="1:11" ht="27" x14ac:dyDescent="0.35">
      <c r="A71" s="100">
        <v>27</v>
      </c>
      <c r="B71" s="25" t="s">
        <v>182</v>
      </c>
      <c r="C71" s="37" t="s">
        <v>8</v>
      </c>
      <c r="D71" s="60">
        <f>0.9*2.15</f>
        <v>1.9350000000000001</v>
      </c>
      <c r="E71" s="114"/>
      <c r="F71" s="114">
        <f>E71*D71</f>
        <v>0</v>
      </c>
      <c r="G71" s="114"/>
      <c r="H71" s="114">
        <f>G71*D71</f>
        <v>0</v>
      </c>
      <c r="I71" s="114"/>
      <c r="J71" s="114">
        <f>I71*D71</f>
        <v>0</v>
      </c>
      <c r="K71" s="40">
        <f t="shared" si="0"/>
        <v>0</v>
      </c>
    </row>
    <row r="72" spans="1:11" x14ac:dyDescent="0.35">
      <c r="A72" s="197">
        <v>28</v>
      </c>
      <c r="B72" s="36" t="s">
        <v>252</v>
      </c>
      <c r="C72" s="37" t="s">
        <v>8</v>
      </c>
      <c r="D72" s="38">
        <v>6.8</v>
      </c>
      <c r="E72" s="57"/>
      <c r="F72" s="116"/>
      <c r="G72" s="116"/>
      <c r="H72" s="40">
        <f t="shared" ref="H72" si="14">G72*D72</f>
        <v>0</v>
      </c>
      <c r="I72" s="116"/>
      <c r="J72" s="41">
        <f t="shared" ref="J72" si="15">I72*D72</f>
        <v>0</v>
      </c>
      <c r="K72" s="40">
        <f t="shared" si="0"/>
        <v>0</v>
      </c>
    </row>
    <row r="73" spans="1:11" x14ac:dyDescent="0.35">
      <c r="A73" s="198"/>
      <c r="B73" s="42" t="s">
        <v>47</v>
      </c>
      <c r="C73" s="43" t="s">
        <v>28</v>
      </c>
      <c r="D73" s="116">
        <f>0.05*D72</f>
        <v>0.34</v>
      </c>
      <c r="E73" s="116"/>
      <c r="F73" s="116">
        <f>E73*D73</f>
        <v>0</v>
      </c>
      <c r="G73" s="116"/>
      <c r="H73" s="40"/>
      <c r="I73" s="116"/>
      <c r="J73" s="41"/>
      <c r="K73" s="40">
        <f t="shared" si="0"/>
        <v>0</v>
      </c>
    </row>
    <row r="74" spans="1:11" x14ac:dyDescent="0.35">
      <c r="A74" s="198"/>
      <c r="B74" s="42" t="s">
        <v>48</v>
      </c>
      <c r="C74" s="43" t="s">
        <v>29</v>
      </c>
      <c r="D74" s="116">
        <f>0.0124*D72</f>
        <v>8.4319999999999992E-2</v>
      </c>
      <c r="E74" s="116"/>
      <c r="F74" s="116">
        <f t="shared" ref="F74:F75" si="16">E74*D74</f>
        <v>0</v>
      </c>
      <c r="G74" s="116"/>
      <c r="H74" s="40"/>
      <c r="I74" s="116"/>
      <c r="J74" s="41"/>
      <c r="K74" s="40">
        <f t="shared" si="0"/>
        <v>0</v>
      </c>
    </row>
    <row r="75" spans="1:11" x14ac:dyDescent="0.35">
      <c r="A75" s="199"/>
      <c r="B75" s="44" t="s">
        <v>26</v>
      </c>
      <c r="C75" s="43" t="s">
        <v>10</v>
      </c>
      <c r="D75" s="116">
        <f>D72*0.2</f>
        <v>1.36</v>
      </c>
      <c r="E75" s="116"/>
      <c r="F75" s="116">
        <f t="shared" si="16"/>
        <v>0</v>
      </c>
      <c r="G75" s="116"/>
      <c r="H75" s="40"/>
      <c r="I75" s="116"/>
      <c r="J75" s="41"/>
      <c r="K75" s="40">
        <f t="shared" si="0"/>
        <v>0</v>
      </c>
    </row>
    <row r="76" spans="1:11" ht="27" x14ac:dyDescent="0.35">
      <c r="A76" s="159">
        <v>29</v>
      </c>
      <c r="B76" s="45" t="s">
        <v>253</v>
      </c>
      <c r="C76" s="37" t="s">
        <v>8</v>
      </c>
      <c r="D76" s="38">
        <v>4</v>
      </c>
      <c r="E76" s="116"/>
      <c r="F76" s="116">
        <f>E76*D76</f>
        <v>0</v>
      </c>
      <c r="G76" s="116"/>
      <c r="H76" s="40">
        <f>G76*D76</f>
        <v>0</v>
      </c>
      <c r="I76" s="116"/>
      <c r="J76" s="41">
        <f>I76*D76</f>
        <v>0</v>
      </c>
      <c r="K76" s="40">
        <f t="shared" si="0"/>
        <v>0</v>
      </c>
    </row>
    <row r="77" spans="1:11" x14ac:dyDescent="0.35">
      <c r="A77" s="185">
        <v>30</v>
      </c>
      <c r="B77" s="45" t="s">
        <v>159</v>
      </c>
      <c r="C77" s="37" t="s">
        <v>8</v>
      </c>
      <c r="D77" s="38">
        <v>4</v>
      </c>
      <c r="E77" s="39"/>
      <c r="F77" s="116"/>
      <c r="G77" s="116"/>
      <c r="H77" s="40">
        <f t="shared" ref="H77" si="17">G77*D77</f>
        <v>0</v>
      </c>
      <c r="I77" s="116"/>
      <c r="J77" s="41">
        <f t="shared" ref="J77:J79" si="18">I77*D77</f>
        <v>0</v>
      </c>
      <c r="K77" s="40">
        <f t="shared" ref="K77:K115" si="19">J77+H77+F77</f>
        <v>0</v>
      </c>
    </row>
    <row r="78" spans="1:11" x14ac:dyDescent="0.35">
      <c r="A78" s="193"/>
      <c r="B78" s="44" t="s">
        <v>160</v>
      </c>
      <c r="C78" s="43" t="s">
        <v>8</v>
      </c>
      <c r="D78" s="116">
        <f>1.05*D77</f>
        <v>4.2</v>
      </c>
      <c r="E78" s="116"/>
      <c r="F78" s="116">
        <f t="shared" ref="F78:F82" si="20">E78*D78</f>
        <v>0</v>
      </c>
      <c r="G78" s="116"/>
      <c r="H78" s="40"/>
      <c r="I78" s="116"/>
      <c r="J78" s="41">
        <f t="shared" si="18"/>
        <v>0</v>
      </c>
      <c r="K78" s="40">
        <f t="shared" si="19"/>
        <v>0</v>
      </c>
    </row>
    <row r="79" spans="1:11" x14ac:dyDescent="0.35">
      <c r="A79" s="193"/>
      <c r="B79" s="44" t="s">
        <v>58</v>
      </c>
      <c r="C79" s="43" t="s">
        <v>11</v>
      </c>
      <c r="D79" s="116">
        <f>6*D77</f>
        <v>24</v>
      </c>
      <c r="E79" s="116"/>
      <c r="F79" s="116">
        <f t="shared" si="20"/>
        <v>0</v>
      </c>
      <c r="G79" s="116"/>
      <c r="H79" s="40"/>
      <c r="I79" s="116"/>
      <c r="J79" s="41">
        <f t="shared" si="18"/>
        <v>0</v>
      </c>
      <c r="K79" s="40">
        <f t="shared" si="19"/>
        <v>0</v>
      </c>
    </row>
    <row r="80" spans="1:11" x14ac:dyDescent="0.35">
      <c r="A80" s="193"/>
      <c r="B80" s="22" t="s">
        <v>67</v>
      </c>
      <c r="C80" s="119" t="s">
        <v>38</v>
      </c>
      <c r="D80" s="21">
        <f>D77*0.1</f>
        <v>0.4</v>
      </c>
      <c r="E80" s="21"/>
      <c r="F80" s="114">
        <f t="shared" si="20"/>
        <v>0</v>
      </c>
      <c r="G80" s="21"/>
      <c r="H80" s="114"/>
      <c r="I80" s="21"/>
      <c r="J80" s="114"/>
      <c r="K80" s="114">
        <f t="shared" si="19"/>
        <v>0</v>
      </c>
    </row>
    <row r="81" spans="1:11" x14ac:dyDescent="0.35">
      <c r="A81" s="193"/>
      <c r="B81" s="44" t="s">
        <v>117</v>
      </c>
      <c r="C81" s="43" t="s">
        <v>11</v>
      </c>
      <c r="D81" s="116">
        <f>0.04*D77</f>
        <v>0.16</v>
      </c>
      <c r="E81" s="116"/>
      <c r="F81" s="116">
        <f t="shared" si="20"/>
        <v>0</v>
      </c>
      <c r="G81" s="116"/>
      <c r="H81" s="40"/>
      <c r="I81" s="116"/>
      <c r="J81" s="41"/>
      <c r="K81" s="40">
        <f t="shared" si="19"/>
        <v>0</v>
      </c>
    </row>
    <row r="82" spans="1:11" x14ac:dyDescent="0.35">
      <c r="A82" s="186"/>
      <c r="B82" s="44" t="s">
        <v>26</v>
      </c>
      <c r="C82" s="43" t="s">
        <v>10</v>
      </c>
      <c r="D82" s="116">
        <f>(D77)*0.03</f>
        <v>0.12</v>
      </c>
      <c r="E82" s="116"/>
      <c r="F82" s="116">
        <f t="shared" si="20"/>
        <v>0</v>
      </c>
      <c r="G82" s="116"/>
      <c r="H82" s="40"/>
      <c r="I82" s="116"/>
      <c r="J82" s="41"/>
      <c r="K82" s="40">
        <f t="shared" si="19"/>
        <v>0</v>
      </c>
    </row>
    <row r="83" spans="1:11" ht="27" x14ac:dyDescent="0.35">
      <c r="A83" s="185">
        <v>31</v>
      </c>
      <c r="B83" s="45" t="s">
        <v>161</v>
      </c>
      <c r="C83" s="37" t="s">
        <v>8</v>
      </c>
      <c r="D83" s="38">
        <v>2.8</v>
      </c>
      <c r="E83" s="39"/>
      <c r="F83" s="116"/>
      <c r="G83" s="116"/>
      <c r="H83" s="40">
        <f t="shared" ref="H83" si="21">G83*D83</f>
        <v>0</v>
      </c>
      <c r="I83" s="116"/>
      <c r="J83" s="41">
        <f t="shared" ref="J83:J85" si="22">I83*D83</f>
        <v>0</v>
      </c>
      <c r="K83" s="40">
        <f t="shared" si="19"/>
        <v>0</v>
      </c>
    </row>
    <row r="84" spans="1:11" x14ac:dyDescent="0.35">
      <c r="A84" s="193"/>
      <c r="B84" s="44" t="s">
        <v>116</v>
      </c>
      <c r="C84" s="43" t="s">
        <v>8</v>
      </c>
      <c r="D84" s="116">
        <f>1.05*D83</f>
        <v>2.94</v>
      </c>
      <c r="E84" s="116"/>
      <c r="F84" s="116">
        <f t="shared" ref="F84:F88" si="23">E84*D84</f>
        <v>0</v>
      </c>
      <c r="G84" s="116"/>
      <c r="H84" s="40"/>
      <c r="I84" s="116"/>
      <c r="J84" s="41">
        <f t="shared" si="22"/>
        <v>0</v>
      </c>
      <c r="K84" s="40">
        <f t="shared" si="19"/>
        <v>0</v>
      </c>
    </row>
    <row r="85" spans="1:11" x14ac:dyDescent="0.35">
      <c r="A85" s="193"/>
      <c r="B85" s="44" t="s">
        <v>58</v>
      </c>
      <c r="C85" s="43" t="s">
        <v>11</v>
      </c>
      <c r="D85" s="116">
        <f>6*D83</f>
        <v>16.799999999999997</v>
      </c>
      <c r="E85" s="116"/>
      <c r="F85" s="116">
        <f t="shared" si="23"/>
        <v>0</v>
      </c>
      <c r="G85" s="116"/>
      <c r="H85" s="40"/>
      <c r="I85" s="116"/>
      <c r="J85" s="41">
        <f t="shared" si="22"/>
        <v>0</v>
      </c>
      <c r="K85" s="40">
        <f t="shared" si="19"/>
        <v>0</v>
      </c>
    </row>
    <row r="86" spans="1:11" x14ac:dyDescent="0.35">
      <c r="A86" s="193"/>
      <c r="B86" s="22" t="s">
        <v>67</v>
      </c>
      <c r="C86" s="119" t="s">
        <v>38</v>
      </c>
      <c r="D86" s="21">
        <f>D83*0.1</f>
        <v>0.27999999999999997</v>
      </c>
      <c r="E86" s="21"/>
      <c r="F86" s="114">
        <f t="shared" si="23"/>
        <v>0</v>
      </c>
      <c r="G86" s="21"/>
      <c r="H86" s="114"/>
      <c r="I86" s="21"/>
      <c r="J86" s="114"/>
      <c r="K86" s="114">
        <f t="shared" si="19"/>
        <v>0</v>
      </c>
    </row>
    <row r="87" spans="1:11" x14ac:dyDescent="0.35">
      <c r="A87" s="193"/>
      <c r="B87" s="44" t="s">
        <v>117</v>
      </c>
      <c r="C87" s="43" t="s">
        <v>11</v>
      </c>
      <c r="D87" s="116">
        <f>0.04*D83</f>
        <v>0.11199999999999999</v>
      </c>
      <c r="E87" s="116"/>
      <c r="F87" s="116">
        <f t="shared" si="23"/>
        <v>0</v>
      </c>
      <c r="G87" s="116"/>
      <c r="H87" s="40"/>
      <c r="I87" s="116"/>
      <c r="J87" s="41"/>
      <c r="K87" s="40">
        <f t="shared" si="19"/>
        <v>0</v>
      </c>
    </row>
    <row r="88" spans="1:11" x14ac:dyDescent="0.35">
      <c r="A88" s="186"/>
      <c r="B88" s="44" t="s">
        <v>26</v>
      </c>
      <c r="C88" s="43" t="s">
        <v>10</v>
      </c>
      <c r="D88" s="116">
        <f>(D83)*0.03</f>
        <v>8.3999999999999991E-2</v>
      </c>
      <c r="E88" s="116"/>
      <c r="F88" s="116">
        <f t="shared" si="23"/>
        <v>0</v>
      </c>
      <c r="G88" s="116"/>
      <c r="H88" s="40"/>
      <c r="I88" s="116"/>
      <c r="J88" s="41"/>
      <c r="K88" s="40">
        <f t="shared" si="19"/>
        <v>0</v>
      </c>
    </row>
    <row r="89" spans="1:11" x14ac:dyDescent="0.35">
      <c r="A89" s="182">
        <v>32</v>
      </c>
      <c r="B89" s="32" t="s">
        <v>155</v>
      </c>
      <c r="C89" s="59" t="s">
        <v>8</v>
      </c>
      <c r="D89" s="61">
        <v>23</v>
      </c>
      <c r="E89" s="21"/>
      <c r="F89" s="21"/>
      <c r="G89" s="21"/>
      <c r="H89" s="21">
        <f t="shared" ref="H89" si="24">G89*D89</f>
        <v>0</v>
      </c>
      <c r="I89" s="21"/>
      <c r="J89" s="21">
        <f t="shared" ref="J89" si="25">I89*D89</f>
        <v>0</v>
      </c>
      <c r="K89" s="21">
        <f t="shared" si="19"/>
        <v>0</v>
      </c>
    </row>
    <row r="90" spans="1:11" x14ac:dyDescent="0.35">
      <c r="A90" s="183"/>
      <c r="B90" s="22" t="s">
        <v>254</v>
      </c>
      <c r="C90" s="119" t="s">
        <v>8</v>
      </c>
      <c r="D90" s="21">
        <f>D89*1.05</f>
        <v>24.150000000000002</v>
      </c>
      <c r="E90" s="21"/>
      <c r="F90" s="21">
        <f t="shared" ref="F90:F94" si="26">E90*D90</f>
        <v>0</v>
      </c>
      <c r="G90" s="21"/>
      <c r="H90" s="21"/>
      <c r="I90" s="21"/>
      <c r="J90" s="21"/>
      <c r="K90" s="21">
        <f t="shared" si="19"/>
        <v>0</v>
      </c>
    </row>
    <row r="91" spans="1:11" x14ac:dyDescent="0.35">
      <c r="A91" s="183"/>
      <c r="B91" s="22" t="s">
        <v>156</v>
      </c>
      <c r="C91" s="119" t="s">
        <v>11</v>
      </c>
      <c r="D91" s="21">
        <f>D89*6</f>
        <v>138</v>
      </c>
      <c r="E91" s="21"/>
      <c r="F91" s="21">
        <f t="shared" si="26"/>
        <v>0</v>
      </c>
      <c r="G91" s="21"/>
      <c r="H91" s="21"/>
      <c r="I91" s="21"/>
      <c r="J91" s="21"/>
      <c r="K91" s="21">
        <f t="shared" si="19"/>
        <v>0</v>
      </c>
    </row>
    <row r="92" spans="1:11" x14ac:dyDescent="0.35">
      <c r="A92" s="183"/>
      <c r="B92" s="22" t="s">
        <v>157</v>
      </c>
      <c r="C92" s="119" t="s">
        <v>11</v>
      </c>
      <c r="D92" s="21">
        <f>D89*0.04</f>
        <v>0.92</v>
      </c>
      <c r="E92" s="21"/>
      <c r="F92" s="21">
        <f t="shared" si="26"/>
        <v>0</v>
      </c>
      <c r="G92" s="21"/>
      <c r="H92" s="21"/>
      <c r="I92" s="21"/>
      <c r="J92" s="21"/>
      <c r="K92" s="21">
        <f t="shared" si="19"/>
        <v>0</v>
      </c>
    </row>
    <row r="93" spans="1:11" x14ac:dyDescent="0.35">
      <c r="A93" s="183"/>
      <c r="B93" s="22" t="s">
        <v>158</v>
      </c>
      <c r="C93" s="119" t="s">
        <v>38</v>
      </c>
      <c r="D93" s="21">
        <f>D89*0.1</f>
        <v>2.3000000000000003</v>
      </c>
      <c r="E93" s="21"/>
      <c r="F93" s="21">
        <f t="shared" si="26"/>
        <v>0</v>
      </c>
      <c r="G93" s="21"/>
      <c r="H93" s="21"/>
      <c r="I93" s="21"/>
      <c r="J93" s="21"/>
      <c r="K93" s="21">
        <f t="shared" si="19"/>
        <v>0</v>
      </c>
    </row>
    <row r="94" spans="1:11" x14ac:dyDescent="0.35">
      <c r="A94" s="184"/>
      <c r="B94" s="22" t="s">
        <v>26</v>
      </c>
      <c r="C94" s="119" t="s">
        <v>10</v>
      </c>
      <c r="D94" s="21">
        <f>D89*0.05</f>
        <v>1.1500000000000001</v>
      </c>
      <c r="E94" s="21"/>
      <c r="F94" s="21">
        <f t="shared" si="26"/>
        <v>0</v>
      </c>
      <c r="G94" s="21"/>
      <c r="H94" s="21"/>
      <c r="I94" s="21"/>
      <c r="J94" s="21"/>
      <c r="K94" s="21">
        <f t="shared" si="19"/>
        <v>0</v>
      </c>
    </row>
    <row r="95" spans="1:11" x14ac:dyDescent="0.35">
      <c r="A95" s="182">
        <v>33</v>
      </c>
      <c r="B95" s="25" t="s">
        <v>173</v>
      </c>
      <c r="C95" s="33" t="s">
        <v>8</v>
      </c>
      <c r="D95" s="60">
        <v>4</v>
      </c>
      <c r="E95" s="114"/>
      <c r="F95" s="114"/>
      <c r="G95" s="114"/>
      <c r="H95" s="114">
        <f t="shared" ref="H95" si="27">G95*D95</f>
        <v>0</v>
      </c>
      <c r="I95" s="114"/>
      <c r="J95" s="114">
        <f>I95*D95</f>
        <v>0</v>
      </c>
      <c r="K95" s="114">
        <f t="shared" si="19"/>
        <v>0</v>
      </c>
    </row>
    <row r="96" spans="1:11" ht="27" x14ac:dyDescent="0.35">
      <c r="A96" s="183"/>
      <c r="B96" s="6" t="s">
        <v>162</v>
      </c>
      <c r="C96" s="17" t="s">
        <v>8</v>
      </c>
      <c r="D96" s="114">
        <f>D95</f>
        <v>4</v>
      </c>
      <c r="E96" s="114"/>
      <c r="F96" s="114">
        <f t="shared" ref="F96:F98" si="28">E96*D96</f>
        <v>0</v>
      </c>
      <c r="G96" s="114"/>
      <c r="H96" s="114"/>
      <c r="I96" s="114"/>
      <c r="J96" s="114">
        <f t="shared" ref="J96:J99" si="29">I96*D96</f>
        <v>0</v>
      </c>
      <c r="K96" s="114">
        <f t="shared" si="19"/>
        <v>0</v>
      </c>
    </row>
    <row r="97" spans="1:11" x14ac:dyDescent="0.35">
      <c r="A97" s="183"/>
      <c r="B97" s="83" t="s">
        <v>163</v>
      </c>
      <c r="C97" s="17" t="s">
        <v>8</v>
      </c>
      <c r="D97" s="114">
        <f>D96*1.05</f>
        <v>4.2</v>
      </c>
      <c r="E97" s="114"/>
      <c r="F97" s="114">
        <f t="shared" si="28"/>
        <v>0</v>
      </c>
      <c r="G97" s="114"/>
      <c r="H97" s="114"/>
      <c r="I97" s="114"/>
      <c r="J97" s="114">
        <f t="shared" si="29"/>
        <v>0</v>
      </c>
      <c r="K97" s="114">
        <f t="shared" si="19"/>
        <v>0</v>
      </c>
    </row>
    <row r="98" spans="1:11" x14ac:dyDescent="0.35">
      <c r="A98" s="184"/>
      <c r="B98" s="70" t="s">
        <v>26</v>
      </c>
      <c r="C98" s="104" t="s">
        <v>10</v>
      </c>
      <c r="D98" s="21">
        <v>1</v>
      </c>
      <c r="E98" s="21"/>
      <c r="F98" s="114">
        <f t="shared" si="28"/>
        <v>0</v>
      </c>
      <c r="G98" s="21"/>
      <c r="H98" s="114"/>
      <c r="I98" s="21"/>
      <c r="J98" s="114">
        <f t="shared" si="29"/>
        <v>0</v>
      </c>
      <c r="K98" s="114">
        <f t="shared" si="19"/>
        <v>0</v>
      </c>
    </row>
    <row r="99" spans="1:11" ht="27" x14ac:dyDescent="0.35">
      <c r="A99" s="182">
        <v>34</v>
      </c>
      <c r="B99" s="105" t="s">
        <v>164</v>
      </c>
      <c r="C99" s="59" t="s">
        <v>8</v>
      </c>
      <c r="D99" s="61">
        <v>85</v>
      </c>
      <c r="E99" s="21"/>
      <c r="F99" s="21"/>
      <c r="G99" s="21"/>
      <c r="H99" s="21">
        <f t="shared" ref="H99" si="30">G99*D99</f>
        <v>0</v>
      </c>
      <c r="I99" s="21"/>
      <c r="J99" s="21">
        <f t="shared" si="29"/>
        <v>0</v>
      </c>
      <c r="K99" s="21">
        <f t="shared" si="19"/>
        <v>0</v>
      </c>
    </row>
    <row r="100" spans="1:11" x14ac:dyDescent="0.35">
      <c r="A100" s="183"/>
      <c r="B100" s="69" t="s">
        <v>172</v>
      </c>
      <c r="C100" s="119" t="s">
        <v>8</v>
      </c>
      <c r="D100" s="21">
        <f>D99*1.03</f>
        <v>87.55</v>
      </c>
      <c r="E100" s="21"/>
      <c r="F100" s="21">
        <f t="shared" ref="F100:F102" si="31">E100*D100</f>
        <v>0</v>
      </c>
      <c r="G100" s="21"/>
      <c r="H100" s="21"/>
      <c r="I100" s="21"/>
      <c r="J100" s="21"/>
      <c r="K100" s="21">
        <f t="shared" si="19"/>
        <v>0</v>
      </c>
    </row>
    <row r="101" spans="1:11" x14ac:dyDescent="0.35">
      <c r="A101" s="183"/>
      <c r="B101" s="83" t="s">
        <v>154</v>
      </c>
      <c r="C101" s="119" t="s">
        <v>8</v>
      </c>
      <c r="D101" s="21">
        <v>48</v>
      </c>
      <c r="E101" s="21"/>
      <c r="F101" s="21">
        <f t="shared" si="31"/>
        <v>0</v>
      </c>
      <c r="G101" s="21"/>
      <c r="H101" s="21"/>
      <c r="I101" s="21"/>
      <c r="J101" s="21"/>
      <c r="K101" s="21">
        <f t="shared" si="19"/>
        <v>0</v>
      </c>
    </row>
    <row r="102" spans="1:11" x14ac:dyDescent="0.35">
      <c r="A102" s="184"/>
      <c r="B102" s="70" t="s">
        <v>26</v>
      </c>
      <c r="C102" s="119" t="s">
        <v>10</v>
      </c>
      <c r="D102" s="21">
        <f>D99*0.1</f>
        <v>8.5</v>
      </c>
      <c r="E102" s="21"/>
      <c r="F102" s="21">
        <f t="shared" si="31"/>
        <v>0</v>
      </c>
      <c r="G102" s="21"/>
      <c r="H102" s="21"/>
      <c r="I102" s="21"/>
      <c r="J102" s="21"/>
      <c r="K102" s="21">
        <f t="shared" si="19"/>
        <v>0</v>
      </c>
    </row>
    <row r="103" spans="1:11" ht="27" x14ac:dyDescent="0.35">
      <c r="A103" s="182">
        <v>35</v>
      </c>
      <c r="B103" s="32" t="s">
        <v>255</v>
      </c>
      <c r="C103" s="118" t="s">
        <v>8</v>
      </c>
      <c r="D103" s="60">
        <v>206</v>
      </c>
      <c r="E103" s="21"/>
      <c r="F103" s="120"/>
      <c r="G103" s="21"/>
      <c r="H103" s="114">
        <f t="shared" ref="H103" si="32">G103*D103</f>
        <v>0</v>
      </c>
      <c r="I103" s="21"/>
      <c r="J103" s="114">
        <f t="shared" ref="J103" si="33">I103*D103</f>
        <v>0</v>
      </c>
      <c r="K103" s="114">
        <f t="shared" si="19"/>
        <v>0</v>
      </c>
    </row>
    <row r="104" spans="1:11" x14ac:dyDescent="0.35">
      <c r="A104" s="183"/>
      <c r="B104" s="44" t="s">
        <v>39</v>
      </c>
      <c r="C104" s="43" t="s">
        <v>11</v>
      </c>
      <c r="D104" s="40">
        <f>0.45*D103</f>
        <v>92.7</v>
      </c>
      <c r="E104" s="48"/>
      <c r="F104" s="120">
        <f t="shared" ref="F104:F110" si="34">E104*D104</f>
        <v>0</v>
      </c>
      <c r="G104" s="40"/>
      <c r="H104" s="120"/>
      <c r="I104" s="40"/>
      <c r="J104" s="120"/>
      <c r="K104" s="114">
        <f t="shared" si="19"/>
        <v>0</v>
      </c>
    </row>
    <row r="105" spans="1:11" x14ac:dyDescent="0.35">
      <c r="A105" s="183"/>
      <c r="B105" s="29" t="s">
        <v>213</v>
      </c>
      <c r="C105" s="43" t="s">
        <v>11</v>
      </c>
      <c r="D105" s="116">
        <f>0.4*D103</f>
        <v>82.4</v>
      </c>
      <c r="E105" s="48"/>
      <c r="F105" s="120">
        <f t="shared" si="34"/>
        <v>0</v>
      </c>
      <c r="G105" s="40"/>
      <c r="H105" s="120"/>
      <c r="I105" s="40"/>
      <c r="J105" s="120"/>
      <c r="K105" s="114">
        <f t="shared" si="19"/>
        <v>0</v>
      </c>
    </row>
    <row r="106" spans="1:11" x14ac:dyDescent="0.35">
      <c r="A106" s="183"/>
      <c r="B106" s="44" t="s">
        <v>40</v>
      </c>
      <c r="C106" s="43" t="s">
        <v>11</v>
      </c>
      <c r="D106" s="116">
        <f>0.15*D103</f>
        <v>30.9</v>
      </c>
      <c r="E106" s="48"/>
      <c r="F106" s="120">
        <f t="shared" si="34"/>
        <v>0</v>
      </c>
      <c r="G106" s="40"/>
      <c r="H106" s="120"/>
      <c r="I106" s="40"/>
      <c r="J106" s="120"/>
      <c r="K106" s="114">
        <f t="shared" si="19"/>
        <v>0</v>
      </c>
    </row>
    <row r="107" spans="1:11" x14ac:dyDescent="0.35">
      <c r="A107" s="183"/>
      <c r="B107" s="44" t="s">
        <v>41</v>
      </c>
      <c r="C107" s="43" t="s">
        <v>8</v>
      </c>
      <c r="D107" s="116">
        <f>0.009*D103</f>
        <v>1.8539999999999999</v>
      </c>
      <c r="E107" s="48"/>
      <c r="F107" s="120">
        <f t="shared" si="34"/>
        <v>0</v>
      </c>
      <c r="G107" s="40"/>
      <c r="H107" s="120"/>
      <c r="I107" s="40"/>
      <c r="J107" s="120"/>
      <c r="K107" s="114">
        <f t="shared" si="19"/>
        <v>0</v>
      </c>
    </row>
    <row r="108" spans="1:11" x14ac:dyDescent="0.35">
      <c r="A108" s="183"/>
      <c r="B108" s="44" t="s">
        <v>42</v>
      </c>
      <c r="C108" s="43" t="s">
        <v>9</v>
      </c>
      <c r="D108" s="116">
        <f>0.4*D103</f>
        <v>82.4</v>
      </c>
      <c r="E108" s="48"/>
      <c r="F108" s="120">
        <f t="shared" si="34"/>
        <v>0</v>
      </c>
      <c r="G108" s="40"/>
      <c r="H108" s="120"/>
      <c r="I108" s="40"/>
      <c r="J108" s="120"/>
      <c r="K108" s="114">
        <f t="shared" si="19"/>
        <v>0</v>
      </c>
    </row>
    <row r="109" spans="1:11" x14ac:dyDescent="0.35">
      <c r="A109" s="183"/>
      <c r="B109" s="44" t="s">
        <v>69</v>
      </c>
      <c r="C109" s="43" t="s">
        <v>19</v>
      </c>
      <c r="D109" s="116">
        <v>1</v>
      </c>
      <c r="E109" s="48"/>
      <c r="F109" s="120">
        <f t="shared" si="34"/>
        <v>0</v>
      </c>
      <c r="G109" s="40"/>
      <c r="H109" s="120"/>
      <c r="I109" s="40"/>
      <c r="J109" s="120"/>
      <c r="K109" s="114">
        <f t="shared" si="19"/>
        <v>0</v>
      </c>
    </row>
    <row r="110" spans="1:11" x14ac:dyDescent="0.35">
      <c r="A110" s="184"/>
      <c r="B110" s="44" t="s">
        <v>44</v>
      </c>
      <c r="C110" s="43" t="s">
        <v>10</v>
      </c>
      <c r="D110" s="116">
        <f>D103*0.03</f>
        <v>6.18</v>
      </c>
      <c r="E110" s="48"/>
      <c r="F110" s="120">
        <f t="shared" si="34"/>
        <v>0</v>
      </c>
      <c r="G110" s="116"/>
      <c r="H110" s="120"/>
      <c r="I110" s="116"/>
      <c r="J110" s="120"/>
      <c r="K110" s="114">
        <f t="shared" si="19"/>
        <v>0</v>
      </c>
    </row>
    <row r="111" spans="1:11" ht="27" x14ac:dyDescent="0.35">
      <c r="A111" s="225">
        <v>36</v>
      </c>
      <c r="B111" s="45" t="s">
        <v>174</v>
      </c>
      <c r="C111" s="118" t="s">
        <v>8</v>
      </c>
      <c r="D111" s="60">
        <f>2.2*2*2*1.2</f>
        <v>10.56</v>
      </c>
      <c r="E111" s="48"/>
      <c r="F111" s="120"/>
      <c r="G111" s="116"/>
      <c r="H111" s="114">
        <f>G111*D111</f>
        <v>0</v>
      </c>
      <c r="I111" s="116"/>
      <c r="J111" s="114"/>
      <c r="K111" s="114">
        <f t="shared" si="19"/>
        <v>0</v>
      </c>
    </row>
    <row r="112" spans="1:11" x14ac:dyDescent="0.35">
      <c r="A112" s="226"/>
      <c r="B112" s="44" t="s">
        <v>176</v>
      </c>
      <c r="C112" s="43" t="s">
        <v>11</v>
      </c>
      <c r="D112" s="116">
        <f>D111*0.35</f>
        <v>3.6959999999999997</v>
      </c>
      <c r="E112" s="48"/>
      <c r="F112" s="120">
        <f>E112*D112</f>
        <v>0</v>
      </c>
      <c r="G112" s="116"/>
      <c r="H112" s="120"/>
      <c r="I112" s="116"/>
      <c r="J112" s="120"/>
      <c r="K112" s="114">
        <f t="shared" si="19"/>
        <v>0</v>
      </c>
    </row>
    <row r="113" spans="1:11" x14ac:dyDescent="0.35">
      <c r="A113" s="226"/>
      <c r="B113" s="44" t="s">
        <v>41</v>
      </c>
      <c r="C113" s="43" t="s">
        <v>8</v>
      </c>
      <c r="D113" s="116">
        <f>0.09*D111</f>
        <v>0.95040000000000002</v>
      </c>
      <c r="E113" s="48"/>
      <c r="F113" s="120">
        <f t="shared" ref="F113:F115" si="35">E113*D113</f>
        <v>0</v>
      </c>
      <c r="G113" s="116"/>
      <c r="H113" s="120"/>
      <c r="I113" s="116"/>
      <c r="J113" s="120"/>
      <c r="K113" s="114">
        <f t="shared" si="19"/>
        <v>0</v>
      </c>
    </row>
    <row r="114" spans="1:11" x14ac:dyDescent="0.35">
      <c r="A114" s="226"/>
      <c r="B114" s="44" t="s">
        <v>175</v>
      </c>
      <c r="C114" s="43" t="s">
        <v>11</v>
      </c>
      <c r="D114" s="116">
        <f>D111*0.04</f>
        <v>0.42240000000000005</v>
      </c>
      <c r="E114" s="48"/>
      <c r="F114" s="120">
        <f t="shared" si="35"/>
        <v>0</v>
      </c>
      <c r="G114" s="116"/>
      <c r="H114" s="120"/>
      <c r="I114" s="116"/>
      <c r="J114" s="120"/>
      <c r="K114" s="114">
        <f t="shared" si="19"/>
        <v>0</v>
      </c>
    </row>
    <row r="115" spans="1:11" x14ac:dyDescent="0.35">
      <c r="A115" s="227"/>
      <c r="B115" s="44" t="s">
        <v>44</v>
      </c>
      <c r="C115" s="43" t="s">
        <v>10</v>
      </c>
      <c r="D115" s="116">
        <f>D108*0.03</f>
        <v>2.472</v>
      </c>
      <c r="E115" s="48"/>
      <c r="F115" s="120">
        <f t="shared" si="35"/>
        <v>0</v>
      </c>
      <c r="G115" s="116"/>
      <c r="H115" s="120"/>
      <c r="I115" s="116"/>
      <c r="J115" s="120"/>
      <c r="K115" s="114">
        <f t="shared" si="19"/>
        <v>0</v>
      </c>
    </row>
    <row r="116" spans="1:11" s="77" customFormat="1" ht="20.149999999999999" customHeight="1" x14ac:dyDescent="0.35">
      <c r="A116" s="118"/>
      <c r="B116" s="121" t="s">
        <v>30</v>
      </c>
      <c r="C116" s="119"/>
      <c r="D116" s="114"/>
      <c r="E116" s="114"/>
      <c r="F116" s="114"/>
      <c r="G116" s="114"/>
      <c r="H116" s="114"/>
      <c r="I116" s="114"/>
      <c r="J116" s="114"/>
      <c r="K116" s="40"/>
    </row>
    <row r="117" spans="1:11" ht="27" x14ac:dyDescent="0.35">
      <c r="A117" s="154">
        <v>37</v>
      </c>
      <c r="B117" s="103" t="s">
        <v>200</v>
      </c>
      <c r="C117" s="118" t="s">
        <v>38</v>
      </c>
      <c r="D117" s="60">
        <v>1</v>
      </c>
      <c r="E117" s="21"/>
      <c r="F117" s="114">
        <f t="shared" ref="F117:F131" si="36">E117*D117</f>
        <v>0</v>
      </c>
      <c r="G117" s="21"/>
      <c r="H117" s="114">
        <f t="shared" ref="H117:H119" si="37">G117*D117</f>
        <v>0</v>
      </c>
      <c r="I117" s="21"/>
      <c r="J117" s="114">
        <f t="shared" ref="J117:J118" si="38">I117*D117</f>
        <v>0</v>
      </c>
      <c r="K117" s="114">
        <f t="shared" ref="K117:K131" si="39">J117+H117+F117</f>
        <v>0</v>
      </c>
    </row>
    <row r="118" spans="1:11" x14ac:dyDescent="0.35">
      <c r="A118" s="154">
        <v>38</v>
      </c>
      <c r="B118" s="103" t="s">
        <v>201</v>
      </c>
      <c r="C118" s="118" t="s">
        <v>38</v>
      </c>
      <c r="D118" s="60">
        <v>1</v>
      </c>
      <c r="E118" s="21"/>
      <c r="F118" s="114">
        <f t="shared" si="36"/>
        <v>0</v>
      </c>
      <c r="G118" s="21"/>
      <c r="H118" s="114">
        <f t="shared" si="37"/>
        <v>0</v>
      </c>
      <c r="I118" s="21"/>
      <c r="J118" s="114">
        <f t="shared" si="38"/>
        <v>0</v>
      </c>
      <c r="K118" s="114">
        <f t="shared" si="39"/>
        <v>0</v>
      </c>
    </row>
    <row r="119" spans="1:11" x14ac:dyDescent="0.35">
      <c r="A119" s="154">
        <v>39</v>
      </c>
      <c r="B119" s="103" t="s">
        <v>170</v>
      </c>
      <c r="C119" s="118" t="s">
        <v>19</v>
      </c>
      <c r="D119" s="60">
        <v>1</v>
      </c>
      <c r="E119" s="21"/>
      <c r="F119" s="114">
        <f t="shared" si="36"/>
        <v>0</v>
      </c>
      <c r="G119" s="21"/>
      <c r="H119" s="114">
        <f t="shared" si="37"/>
        <v>0</v>
      </c>
      <c r="I119" s="21"/>
      <c r="J119" s="114"/>
      <c r="K119" s="114">
        <f t="shared" si="39"/>
        <v>0</v>
      </c>
    </row>
    <row r="120" spans="1:11" x14ac:dyDescent="0.35">
      <c r="A120" s="154">
        <v>40</v>
      </c>
      <c r="B120" s="103" t="s">
        <v>152</v>
      </c>
      <c r="C120" s="118" t="s">
        <v>9</v>
      </c>
      <c r="D120" s="60">
        <v>2</v>
      </c>
      <c r="E120" s="21"/>
      <c r="F120" s="114">
        <f t="shared" si="36"/>
        <v>0</v>
      </c>
      <c r="G120" s="21"/>
      <c r="H120" s="114">
        <f>G120*D120</f>
        <v>0</v>
      </c>
      <c r="I120" s="21"/>
      <c r="J120" s="114">
        <f>I120*D120</f>
        <v>0</v>
      </c>
      <c r="K120" s="114">
        <f t="shared" si="39"/>
        <v>0</v>
      </c>
    </row>
    <row r="121" spans="1:11" x14ac:dyDescent="0.35">
      <c r="A121" s="154">
        <v>41</v>
      </c>
      <c r="B121" s="103" t="s">
        <v>153</v>
      </c>
      <c r="C121" s="118" t="s">
        <v>9</v>
      </c>
      <c r="D121" s="60">
        <v>12</v>
      </c>
      <c r="E121" s="21"/>
      <c r="F121" s="114">
        <f t="shared" si="36"/>
        <v>0</v>
      </c>
      <c r="G121" s="21"/>
      <c r="H121" s="114">
        <f>G121*D121</f>
        <v>0</v>
      </c>
      <c r="I121" s="21"/>
      <c r="J121" s="114">
        <f>I121*D121</f>
        <v>0</v>
      </c>
      <c r="K121" s="114">
        <f t="shared" si="39"/>
        <v>0</v>
      </c>
    </row>
    <row r="122" spans="1:11" x14ac:dyDescent="0.35">
      <c r="A122" s="200"/>
      <c r="B122" s="101" t="s">
        <v>320</v>
      </c>
      <c r="C122" s="119" t="s">
        <v>19</v>
      </c>
      <c r="D122" s="21">
        <v>4</v>
      </c>
      <c r="E122" s="21"/>
      <c r="F122" s="114">
        <f t="shared" si="36"/>
        <v>0</v>
      </c>
      <c r="G122" s="21"/>
      <c r="H122" s="114"/>
      <c r="I122" s="21"/>
      <c r="J122" s="114"/>
      <c r="K122" s="114">
        <f t="shared" si="39"/>
        <v>0</v>
      </c>
    </row>
    <row r="123" spans="1:11" x14ac:dyDescent="0.35">
      <c r="A123" s="201"/>
      <c r="B123" s="101" t="s">
        <v>321</v>
      </c>
      <c r="C123" s="119" t="s">
        <v>19</v>
      </c>
      <c r="D123" s="21">
        <v>6</v>
      </c>
      <c r="E123" s="21"/>
      <c r="F123" s="114">
        <f t="shared" si="36"/>
        <v>0</v>
      </c>
      <c r="G123" s="21"/>
      <c r="H123" s="114"/>
      <c r="I123" s="21"/>
      <c r="J123" s="114"/>
      <c r="K123" s="114">
        <f t="shared" si="39"/>
        <v>0</v>
      </c>
    </row>
    <row r="124" spans="1:11" x14ac:dyDescent="0.35">
      <c r="A124" s="202"/>
      <c r="B124" s="101" t="s">
        <v>26</v>
      </c>
      <c r="D124" s="21">
        <f>(D120+D121)*0.1</f>
        <v>1.4000000000000001</v>
      </c>
      <c r="E124" s="21"/>
      <c r="F124" s="114">
        <f t="shared" si="36"/>
        <v>0</v>
      </c>
      <c r="G124" s="21"/>
      <c r="H124" s="114"/>
      <c r="I124" s="21"/>
      <c r="J124" s="114"/>
      <c r="K124" s="114">
        <f t="shared" si="39"/>
        <v>0</v>
      </c>
    </row>
    <row r="125" spans="1:11" ht="27" x14ac:dyDescent="0.35">
      <c r="A125" s="154">
        <v>42</v>
      </c>
      <c r="B125" s="103" t="s">
        <v>202</v>
      </c>
      <c r="C125" s="118" t="s">
        <v>9</v>
      </c>
      <c r="D125" s="60">
        <v>24</v>
      </c>
      <c r="E125" s="21"/>
      <c r="F125" s="114">
        <f t="shared" si="36"/>
        <v>0</v>
      </c>
      <c r="G125" s="21"/>
      <c r="H125" s="114">
        <f t="shared" ref="H125:H128" si="40">G125*D125</f>
        <v>0</v>
      </c>
      <c r="I125" s="21"/>
      <c r="J125" s="114">
        <f t="shared" ref="J125" si="41">I125*D125</f>
        <v>0</v>
      </c>
      <c r="K125" s="114">
        <f t="shared" si="39"/>
        <v>0</v>
      </c>
    </row>
    <row r="126" spans="1:11" x14ac:dyDescent="0.35">
      <c r="A126" s="200"/>
      <c r="B126" s="101" t="s">
        <v>178</v>
      </c>
      <c r="C126" s="119" t="s">
        <v>9</v>
      </c>
      <c r="D126" s="21">
        <v>20</v>
      </c>
      <c r="E126" s="21"/>
      <c r="F126" s="114">
        <f t="shared" si="36"/>
        <v>0</v>
      </c>
      <c r="G126" s="21"/>
      <c r="H126" s="114">
        <f t="shared" si="40"/>
        <v>0</v>
      </c>
      <c r="I126" s="21"/>
      <c r="J126" s="114"/>
      <c r="K126" s="114">
        <f t="shared" si="39"/>
        <v>0</v>
      </c>
    </row>
    <row r="127" spans="1:11" x14ac:dyDescent="0.35">
      <c r="A127" s="201"/>
      <c r="B127" s="101" t="s">
        <v>149</v>
      </c>
      <c r="C127" s="119" t="s">
        <v>38</v>
      </c>
      <c r="D127" s="21">
        <v>3</v>
      </c>
      <c r="E127" s="21"/>
      <c r="F127" s="114">
        <f t="shared" si="36"/>
        <v>0</v>
      </c>
      <c r="G127" s="21"/>
      <c r="H127" s="114">
        <f t="shared" si="40"/>
        <v>0</v>
      </c>
      <c r="I127" s="21"/>
      <c r="J127" s="114"/>
      <c r="K127" s="114">
        <f t="shared" si="39"/>
        <v>0</v>
      </c>
    </row>
    <row r="128" spans="1:11" x14ac:dyDescent="0.35">
      <c r="A128" s="201"/>
      <c r="B128" s="101" t="s">
        <v>150</v>
      </c>
      <c r="C128" s="119" t="s">
        <v>38</v>
      </c>
      <c r="D128" s="21">
        <v>2</v>
      </c>
      <c r="E128" s="21"/>
      <c r="F128" s="114">
        <f t="shared" si="36"/>
        <v>0</v>
      </c>
      <c r="G128" s="21"/>
      <c r="H128" s="114">
        <f t="shared" si="40"/>
        <v>0</v>
      </c>
      <c r="I128" s="21"/>
      <c r="J128" s="114">
        <f t="shared" ref="J128" si="42">I128*D128</f>
        <v>0</v>
      </c>
      <c r="K128" s="114">
        <f t="shared" si="39"/>
        <v>0</v>
      </c>
    </row>
    <row r="129" spans="1:11" x14ac:dyDescent="0.35">
      <c r="A129" s="201"/>
      <c r="B129" s="101" t="s">
        <v>151</v>
      </c>
      <c r="C129" s="119" t="s">
        <v>38</v>
      </c>
      <c r="D129" s="21">
        <v>12</v>
      </c>
      <c r="E129" s="21"/>
      <c r="F129" s="114">
        <f t="shared" si="36"/>
        <v>0</v>
      </c>
      <c r="G129" s="21"/>
      <c r="H129" s="114"/>
      <c r="I129" s="21"/>
      <c r="J129" s="114"/>
      <c r="K129" s="114">
        <f t="shared" si="39"/>
        <v>0</v>
      </c>
    </row>
    <row r="130" spans="1:11" x14ac:dyDescent="0.35">
      <c r="A130" s="202"/>
      <c r="B130" s="35" t="s">
        <v>26</v>
      </c>
      <c r="C130" s="119" t="s">
        <v>10</v>
      </c>
      <c r="D130" s="114">
        <v>7</v>
      </c>
      <c r="E130" s="114"/>
      <c r="F130" s="114">
        <f t="shared" si="36"/>
        <v>0</v>
      </c>
      <c r="G130" s="114"/>
      <c r="H130" s="114"/>
      <c r="I130" s="114"/>
      <c r="J130" s="114"/>
      <c r="K130" s="40">
        <f t="shared" si="39"/>
        <v>0</v>
      </c>
    </row>
    <row r="131" spans="1:11" ht="40.5" x14ac:dyDescent="0.35">
      <c r="A131" s="100">
        <v>43</v>
      </c>
      <c r="B131" s="102" t="s">
        <v>367</v>
      </c>
      <c r="C131" s="118" t="s">
        <v>21</v>
      </c>
      <c r="D131" s="60">
        <v>1</v>
      </c>
      <c r="E131" s="114"/>
      <c r="F131" s="114">
        <f t="shared" si="36"/>
        <v>0</v>
      </c>
      <c r="G131" s="114"/>
      <c r="H131" s="114">
        <f>G131*D131</f>
        <v>0</v>
      </c>
      <c r="I131" s="114"/>
      <c r="J131" s="114">
        <f>I131*D131</f>
        <v>0</v>
      </c>
      <c r="K131" s="40">
        <f t="shared" si="39"/>
        <v>0</v>
      </c>
    </row>
    <row r="132" spans="1:11" s="77" customFormat="1" ht="20.149999999999999" customHeight="1" x14ac:dyDescent="0.35">
      <c r="A132" s="118"/>
      <c r="B132" s="121" t="s">
        <v>84</v>
      </c>
      <c r="C132" s="119"/>
      <c r="D132" s="114"/>
      <c r="E132" s="114"/>
      <c r="F132" s="114"/>
      <c r="G132" s="114"/>
      <c r="H132" s="114"/>
      <c r="I132" s="114"/>
      <c r="J132" s="114"/>
      <c r="K132" s="40"/>
    </row>
    <row r="133" spans="1:11" ht="27" x14ac:dyDescent="0.35">
      <c r="A133" s="100">
        <v>44</v>
      </c>
      <c r="B133" s="102" t="s">
        <v>165</v>
      </c>
      <c r="C133" s="118" t="s">
        <v>21</v>
      </c>
      <c r="D133" s="60">
        <v>1</v>
      </c>
      <c r="E133" s="114"/>
      <c r="F133" s="114"/>
      <c r="G133" s="114"/>
      <c r="H133" s="114">
        <f>G133*D133</f>
        <v>0</v>
      </c>
      <c r="I133" s="114"/>
      <c r="J133" s="114"/>
      <c r="K133" s="40">
        <f>J133+H133+F133</f>
        <v>0</v>
      </c>
    </row>
    <row r="134" spans="1:11" x14ac:dyDescent="0.35">
      <c r="A134" s="185">
        <v>45</v>
      </c>
      <c r="B134" s="117" t="s">
        <v>85</v>
      </c>
      <c r="C134" s="118" t="s">
        <v>38</v>
      </c>
      <c r="D134" s="126">
        <v>14</v>
      </c>
      <c r="E134" s="84"/>
      <c r="F134" s="120"/>
      <c r="G134" s="84"/>
      <c r="H134" s="120">
        <f t="shared" ref="H134:H142" si="43">G134*D134</f>
        <v>0</v>
      </c>
      <c r="I134" s="84"/>
      <c r="J134" s="120">
        <f t="shared" ref="J134:J142" si="44">I134*D134</f>
        <v>0</v>
      </c>
      <c r="K134" s="114">
        <f t="shared" ref="K134:K143" si="45">J134+H134+F134</f>
        <v>0</v>
      </c>
    </row>
    <row r="135" spans="1:11" ht="40.5" x14ac:dyDescent="0.35">
      <c r="A135" s="186"/>
      <c r="B135" s="83" t="s">
        <v>189</v>
      </c>
      <c r="C135" s="115" t="s">
        <v>38</v>
      </c>
      <c r="D135" s="84">
        <v>11</v>
      </c>
      <c r="E135" s="84"/>
      <c r="F135" s="114">
        <f t="shared" ref="F135:F143" si="46">E135*D135</f>
        <v>0</v>
      </c>
      <c r="G135" s="84"/>
      <c r="H135" s="114"/>
      <c r="I135" s="84"/>
      <c r="J135" s="114"/>
      <c r="K135" s="114">
        <f t="shared" si="45"/>
        <v>0</v>
      </c>
    </row>
    <row r="136" spans="1:11" ht="30" customHeight="1" x14ac:dyDescent="0.35">
      <c r="A136" s="172">
        <v>46</v>
      </c>
      <c r="B136" s="142" t="s">
        <v>190</v>
      </c>
      <c r="C136" s="38" t="s">
        <v>166</v>
      </c>
      <c r="D136" s="143">
        <v>1</v>
      </c>
      <c r="E136" s="108"/>
      <c r="F136" s="114">
        <f t="shared" si="46"/>
        <v>0</v>
      </c>
      <c r="G136" s="108"/>
      <c r="H136" s="114">
        <f t="shared" ref="H136:H137" si="47">G136*D136</f>
        <v>0</v>
      </c>
      <c r="I136" s="21"/>
      <c r="J136" s="114">
        <f t="shared" ref="J136:J137" si="48">I136*D136</f>
        <v>0</v>
      </c>
      <c r="K136" s="114">
        <f t="shared" si="45"/>
        <v>0</v>
      </c>
    </row>
    <row r="137" spans="1:11" x14ac:dyDescent="0.35">
      <c r="A137" s="111">
        <v>47</v>
      </c>
      <c r="B137" s="45" t="s">
        <v>256</v>
      </c>
      <c r="C137" s="37" t="s">
        <v>19</v>
      </c>
      <c r="D137" s="38">
        <v>1</v>
      </c>
      <c r="E137" s="116"/>
      <c r="F137" s="116">
        <f t="shared" si="46"/>
        <v>0</v>
      </c>
      <c r="G137" s="116"/>
      <c r="H137" s="40">
        <f t="shared" si="47"/>
        <v>0</v>
      </c>
      <c r="I137" s="116"/>
      <c r="J137" s="41">
        <f t="shared" si="48"/>
        <v>0</v>
      </c>
      <c r="K137" s="40">
        <f t="shared" si="45"/>
        <v>0</v>
      </c>
    </row>
    <row r="138" spans="1:11" ht="27" x14ac:dyDescent="0.35">
      <c r="A138" s="172">
        <v>48</v>
      </c>
      <c r="B138" s="7" t="s">
        <v>86</v>
      </c>
      <c r="C138" s="85" t="s">
        <v>9</v>
      </c>
      <c r="D138" s="84">
        <v>50</v>
      </c>
      <c r="E138" s="84"/>
      <c r="F138" s="114">
        <f t="shared" si="46"/>
        <v>0</v>
      </c>
      <c r="G138" s="84"/>
      <c r="H138" s="114">
        <f t="shared" si="43"/>
        <v>0</v>
      </c>
      <c r="I138" s="114"/>
      <c r="J138" s="114">
        <f t="shared" si="44"/>
        <v>0</v>
      </c>
      <c r="K138" s="114">
        <f t="shared" si="45"/>
        <v>0</v>
      </c>
    </row>
    <row r="139" spans="1:11" ht="27" x14ac:dyDescent="0.35">
      <c r="A139" s="172">
        <v>49</v>
      </c>
      <c r="B139" s="7" t="s">
        <v>24</v>
      </c>
      <c r="C139" s="115" t="s">
        <v>9</v>
      </c>
      <c r="D139" s="114">
        <v>120</v>
      </c>
      <c r="E139" s="114"/>
      <c r="F139" s="114">
        <f t="shared" si="46"/>
        <v>0</v>
      </c>
      <c r="G139" s="114"/>
      <c r="H139" s="114">
        <f t="shared" si="43"/>
        <v>0</v>
      </c>
      <c r="I139" s="114"/>
      <c r="J139" s="114">
        <f t="shared" si="44"/>
        <v>0</v>
      </c>
      <c r="K139" s="114">
        <f t="shared" si="45"/>
        <v>0</v>
      </c>
    </row>
    <row r="140" spans="1:11" x14ac:dyDescent="0.35">
      <c r="A140" s="172">
        <v>50</v>
      </c>
      <c r="B140" s="83" t="s">
        <v>88</v>
      </c>
      <c r="C140" s="115" t="s">
        <v>19</v>
      </c>
      <c r="D140" s="84">
        <v>1</v>
      </c>
      <c r="E140" s="84"/>
      <c r="F140" s="114">
        <f t="shared" si="46"/>
        <v>0</v>
      </c>
      <c r="G140" s="84"/>
      <c r="H140" s="114">
        <f t="shared" si="43"/>
        <v>0</v>
      </c>
      <c r="I140" s="84"/>
      <c r="J140" s="114"/>
      <c r="K140" s="114">
        <f t="shared" si="45"/>
        <v>0</v>
      </c>
    </row>
    <row r="141" spans="1:11" x14ac:dyDescent="0.35">
      <c r="A141" s="172">
        <v>51</v>
      </c>
      <c r="B141" s="86" t="s">
        <v>87</v>
      </c>
      <c r="C141" s="43" t="s">
        <v>19</v>
      </c>
      <c r="D141" s="116">
        <v>16</v>
      </c>
      <c r="E141" s="116"/>
      <c r="F141" s="120">
        <f t="shared" si="46"/>
        <v>0</v>
      </c>
      <c r="G141" s="116"/>
      <c r="H141" s="120">
        <f t="shared" si="43"/>
        <v>0</v>
      </c>
      <c r="I141" s="116"/>
      <c r="J141" s="120">
        <f t="shared" si="44"/>
        <v>0</v>
      </c>
      <c r="K141" s="114">
        <f t="shared" si="45"/>
        <v>0</v>
      </c>
    </row>
    <row r="142" spans="1:11" x14ac:dyDescent="0.35">
      <c r="A142" s="203">
        <v>52</v>
      </c>
      <c r="B142" s="7" t="s">
        <v>25</v>
      </c>
      <c r="C142" s="115" t="s">
        <v>19</v>
      </c>
      <c r="D142" s="114">
        <v>3</v>
      </c>
      <c r="E142" s="114"/>
      <c r="F142" s="120">
        <f t="shared" si="46"/>
        <v>0</v>
      </c>
      <c r="G142" s="114"/>
      <c r="H142" s="120">
        <f t="shared" si="43"/>
        <v>0</v>
      </c>
      <c r="I142" s="114"/>
      <c r="J142" s="120">
        <f t="shared" si="44"/>
        <v>0</v>
      </c>
      <c r="K142" s="114">
        <f t="shared" si="45"/>
        <v>0</v>
      </c>
    </row>
    <row r="143" spans="1:11" x14ac:dyDescent="0.35">
      <c r="A143" s="186"/>
      <c r="B143" s="35" t="s">
        <v>168</v>
      </c>
      <c r="C143" s="119" t="s">
        <v>10</v>
      </c>
      <c r="D143" s="114">
        <v>22</v>
      </c>
      <c r="E143" s="114"/>
      <c r="F143" s="120">
        <f t="shared" si="46"/>
        <v>0</v>
      </c>
      <c r="G143" s="114"/>
      <c r="H143" s="114"/>
      <c r="I143" s="114"/>
      <c r="J143" s="114"/>
      <c r="K143" s="114">
        <f t="shared" si="45"/>
        <v>0</v>
      </c>
    </row>
    <row r="144" spans="1:11" ht="30" customHeight="1" x14ac:dyDescent="0.35">
      <c r="A144" s="130"/>
      <c r="B144" s="131" t="s">
        <v>257</v>
      </c>
      <c r="C144" s="132"/>
      <c r="D144" s="133"/>
      <c r="E144" s="133"/>
      <c r="F144" s="133"/>
      <c r="G144" s="133"/>
      <c r="H144" s="133"/>
      <c r="I144" s="133"/>
      <c r="J144" s="133"/>
      <c r="K144" s="133"/>
    </row>
    <row r="145" spans="1:11" x14ac:dyDescent="0.35">
      <c r="A145" s="160"/>
      <c r="B145" s="110" t="s">
        <v>36</v>
      </c>
      <c r="C145" s="161"/>
      <c r="D145" s="162"/>
      <c r="E145" s="162"/>
      <c r="F145" s="162"/>
      <c r="G145" s="162"/>
      <c r="H145" s="162"/>
      <c r="I145" s="162"/>
      <c r="J145" s="162"/>
      <c r="K145" s="162"/>
    </row>
    <row r="146" spans="1:11" ht="27" x14ac:dyDescent="0.35">
      <c r="A146" s="163">
        <v>1</v>
      </c>
      <c r="B146" s="102" t="s">
        <v>258</v>
      </c>
      <c r="C146" s="118" t="s">
        <v>21</v>
      </c>
      <c r="D146" s="60">
        <v>1</v>
      </c>
      <c r="E146" s="114"/>
      <c r="F146" s="120"/>
      <c r="G146" s="114"/>
      <c r="H146" s="114">
        <f>G146*D146</f>
        <v>0</v>
      </c>
      <c r="I146" s="114"/>
      <c r="J146" s="114">
        <f>I146*D146</f>
        <v>0</v>
      </c>
      <c r="K146" s="114">
        <f t="shared" ref="K146:K165" si="49">J146+H146+F146</f>
        <v>0</v>
      </c>
    </row>
    <row r="147" spans="1:11" x14ac:dyDescent="0.35">
      <c r="A147" s="172">
        <v>2</v>
      </c>
      <c r="B147" s="164" t="s">
        <v>259</v>
      </c>
      <c r="C147" s="59" t="s">
        <v>260</v>
      </c>
      <c r="D147" s="60">
        <v>5.5</v>
      </c>
      <c r="E147" s="114"/>
      <c r="F147" s="120"/>
      <c r="G147" s="114"/>
      <c r="H147" s="114">
        <f>G147*D147</f>
        <v>0</v>
      </c>
      <c r="I147" s="114"/>
      <c r="J147" s="114"/>
      <c r="K147" s="40">
        <f t="shared" si="49"/>
        <v>0</v>
      </c>
    </row>
    <row r="148" spans="1:11" ht="27" x14ac:dyDescent="0.35">
      <c r="A148" s="172">
        <v>3</v>
      </c>
      <c r="B148" s="25" t="s">
        <v>261</v>
      </c>
      <c r="C148" s="37" t="s">
        <v>8</v>
      </c>
      <c r="D148" s="60">
        <f>0.9*2.15</f>
        <v>1.9350000000000001</v>
      </c>
      <c r="E148" s="114"/>
      <c r="F148" s="114"/>
      <c r="G148" s="114"/>
      <c r="H148" s="114">
        <f>G148*D148</f>
        <v>0</v>
      </c>
      <c r="I148" s="114"/>
      <c r="J148" s="114"/>
      <c r="K148" s="40">
        <f t="shared" si="49"/>
        <v>0</v>
      </c>
    </row>
    <row r="149" spans="1:11" x14ac:dyDescent="0.35">
      <c r="A149" s="172">
        <v>4</v>
      </c>
      <c r="B149" s="25" t="s">
        <v>262</v>
      </c>
      <c r="C149" s="37" t="s">
        <v>8</v>
      </c>
      <c r="D149" s="60">
        <v>2</v>
      </c>
      <c r="E149" s="114"/>
      <c r="F149" s="114"/>
      <c r="G149" s="114"/>
      <c r="H149" s="114">
        <f>G149*D149</f>
        <v>0</v>
      </c>
      <c r="I149" s="114"/>
      <c r="J149" s="114"/>
      <c r="K149" s="40">
        <f t="shared" si="49"/>
        <v>0</v>
      </c>
    </row>
    <row r="150" spans="1:11" x14ac:dyDescent="0.35">
      <c r="A150" s="194">
        <v>5</v>
      </c>
      <c r="B150" s="74" t="s">
        <v>248</v>
      </c>
      <c r="C150" s="37" t="s">
        <v>8</v>
      </c>
      <c r="D150" s="75">
        <f>2.08*3</f>
        <v>6.24</v>
      </c>
      <c r="E150" s="120"/>
      <c r="F150" s="120"/>
      <c r="G150" s="120"/>
      <c r="H150" s="114">
        <f>G150*D150</f>
        <v>0</v>
      </c>
      <c r="I150" s="120"/>
      <c r="J150" s="120"/>
      <c r="K150" s="40">
        <f t="shared" si="49"/>
        <v>0</v>
      </c>
    </row>
    <row r="151" spans="1:11" x14ac:dyDescent="0.35">
      <c r="A151" s="195"/>
      <c r="B151" s="34" t="s">
        <v>249</v>
      </c>
      <c r="C151" s="43" t="s">
        <v>8</v>
      </c>
      <c r="D151" s="114">
        <f>(D150*2)*1.05</f>
        <v>13.104000000000001</v>
      </c>
      <c r="E151" s="114"/>
      <c r="F151" s="114">
        <f>E151*D151</f>
        <v>0</v>
      </c>
      <c r="G151" s="114"/>
      <c r="H151" s="114"/>
      <c r="I151" s="114"/>
      <c r="J151" s="114"/>
      <c r="K151" s="40">
        <f t="shared" si="49"/>
        <v>0</v>
      </c>
    </row>
    <row r="152" spans="1:11" ht="27" x14ac:dyDescent="0.35">
      <c r="A152" s="195"/>
      <c r="B152" s="7" t="s">
        <v>27</v>
      </c>
      <c r="C152" s="119" t="s">
        <v>8</v>
      </c>
      <c r="D152" s="114">
        <f>D150</f>
        <v>6.24</v>
      </c>
      <c r="E152" s="114"/>
      <c r="F152" s="114">
        <f t="shared" ref="F152:F154" si="50">E152*D152</f>
        <v>0</v>
      </c>
      <c r="G152" s="114"/>
      <c r="H152" s="114"/>
      <c r="I152" s="114"/>
      <c r="J152" s="114"/>
      <c r="K152" s="40">
        <f t="shared" si="49"/>
        <v>0</v>
      </c>
    </row>
    <row r="153" spans="1:11" x14ac:dyDescent="0.35">
      <c r="A153" s="195"/>
      <c r="B153" s="35" t="s">
        <v>64</v>
      </c>
      <c r="C153" s="119" t="s">
        <v>8</v>
      </c>
      <c r="D153" s="114">
        <f>D152</f>
        <v>6.24</v>
      </c>
      <c r="E153" s="114"/>
      <c r="F153" s="114">
        <f t="shared" si="50"/>
        <v>0</v>
      </c>
      <c r="G153" s="114"/>
      <c r="H153" s="114"/>
      <c r="I153" s="114"/>
      <c r="J153" s="114"/>
      <c r="K153" s="40">
        <f t="shared" si="49"/>
        <v>0</v>
      </c>
    </row>
    <row r="154" spans="1:11" x14ac:dyDescent="0.35">
      <c r="A154" s="196"/>
      <c r="B154" s="35" t="s">
        <v>26</v>
      </c>
      <c r="C154" s="119" t="s">
        <v>10</v>
      </c>
      <c r="D154" s="114">
        <f>D153*0.1</f>
        <v>0.62400000000000011</v>
      </c>
      <c r="E154" s="114"/>
      <c r="F154" s="114">
        <f t="shared" si="50"/>
        <v>0</v>
      </c>
      <c r="G154" s="114"/>
      <c r="H154" s="114"/>
      <c r="I154" s="114"/>
      <c r="J154" s="114"/>
      <c r="K154" s="40">
        <f t="shared" si="49"/>
        <v>0</v>
      </c>
    </row>
    <row r="155" spans="1:11" ht="27" x14ac:dyDescent="0.35">
      <c r="A155" s="100">
        <v>6</v>
      </c>
      <c r="B155" s="25" t="s">
        <v>182</v>
      </c>
      <c r="C155" s="37" t="s">
        <v>8</v>
      </c>
      <c r="D155" s="60">
        <f>0.9*2.15</f>
        <v>1.9350000000000001</v>
      </c>
      <c r="E155" s="114"/>
      <c r="F155" s="114">
        <f>E155*D155</f>
        <v>0</v>
      </c>
      <c r="G155" s="114"/>
      <c r="H155" s="114">
        <f>G155*D155</f>
        <v>0</v>
      </c>
      <c r="I155" s="114"/>
      <c r="J155" s="114">
        <f>I155*D155</f>
        <v>0</v>
      </c>
      <c r="K155" s="40">
        <f t="shared" si="49"/>
        <v>0</v>
      </c>
    </row>
    <row r="156" spans="1:11" ht="40.5" x14ac:dyDescent="0.35">
      <c r="A156" s="194">
        <v>7</v>
      </c>
      <c r="B156" s="25" t="s">
        <v>263</v>
      </c>
      <c r="C156" s="37" t="s">
        <v>9</v>
      </c>
      <c r="D156" s="60">
        <v>22</v>
      </c>
      <c r="E156" s="114"/>
      <c r="F156" s="114"/>
      <c r="G156" s="116"/>
      <c r="H156" s="114">
        <f t="shared" ref="H156" si="51">G156*D156</f>
        <v>0</v>
      </c>
      <c r="I156" s="116"/>
      <c r="J156" s="114">
        <f t="shared" ref="J156" si="52">I156*D156</f>
        <v>0</v>
      </c>
      <c r="K156" s="114">
        <f t="shared" si="49"/>
        <v>0</v>
      </c>
    </row>
    <row r="157" spans="1:11" x14ac:dyDescent="0.35">
      <c r="A157" s="195"/>
      <c r="B157" s="44" t="s">
        <v>105</v>
      </c>
      <c r="C157" s="43" t="s">
        <v>83</v>
      </c>
      <c r="D157" s="48">
        <f>D156*0.2*1.1</f>
        <v>4.8400000000000007</v>
      </c>
      <c r="E157" s="48"/>
      <c r="F157" s="48">
        <f>E157*D157</f>
        <v>0</v>
      </c>
      <c r="G157" s="48"/>
      <c r="H157" s="48"/>
      <c r="I157" s="48"/>
      <c r="J157" s="50"/>
      <c r="K157" s="116">
        <f t="shared" si="49"/>
        <v>0</v>
      </c>
    </row>
    <row r="158" spans="1:11" x14ac:dyDescent="0.35">
      <c r="A158" s="196"/>
      <c r="B158" s="44" t="s">
        <v>26</v>
      </c>
      <c r="C158" s="43" t="s">
        <v>10</v>
      </c>
      <c r="D158" s="48">
        <f>D156*0.08</f>
        <v>1.76</v>
      </c>
      <c r="E158" s="48"/>
      <c r="F158" s="48">
        <f>E158*D158</f>
        <v>0</v>
      </c>
      <c r="G158" s="48"/>
      <c r="H158" s="48"/>
      <c r="I158" s="48"/>
      <c r="J158" s="50"/>
      <c r="K158" s="116">
        <f t="shared" si="49"/>
        <v>0</v>
      </c>
    </row>
    <row r="159" spans="1:11" ht="27" x14ac:dyDescent="0.35">
      <c r="A159" s="194">
        <v>8</v>
      </c>
      <c r="B159" s="25" t="s">
        <v>264</v>
      </c>
      <c r="C159" s="37" t="s">
        <v>9</v>
      </c>
      <c r="D159" s="60">
        <v>15</v>
      </c>
      <c r="E159" s="114"/>
      <c r="F159" s="114"/>
      <c r="G159" s="48"/>
      <c r="H159" s="48">
        <f>G159*D159</f>
        <v>0</v>
      </c>
      <c r="I159" s="48"/>
      <c r="J159" s="50">
        <f>I159*D159</f>
        <v>0</v>
      </c>
      <c r="K159" s="116">
        <f t="shared" si="49"/>
        <v>0</v>
      </c>
    </row>
    <row r="160" spans="1:11" x14ac:dyDescent="0.35">
      <c r="A160" s="195"/>
      <c r="B160" s="44" t="s">
        <v>265</v>
      </c>
      <c r="C160" s="43" t="s">
        <v>9</v>
      </c>
      <c r="D160" s="48">
        <f>1.05*D159</f>
        <v>15.75</v>
      </c>
      <c r="E160" s="48"/>
      <c r="F160" s="48">
        <f>E160*D160</f>
        <v>0</v>
      </c>
      <c r="G160" s="48"/>
      <c r="H160" s="48"/>
      <c r="I160" s="48"/>
      <c r="J160" s="50"/>
      <c r="K160" s="116">
        <f t="shared" si="49"/>
        <v>0</v>
      </c>
    </row>
    <row r="161" spans="1:11" x14ac:dyDescent="0.35">
      <c r="A161" s="196"/>
      <c r="B161" s="44" t="s">
        <v>26</v>
      </c>
      <c r="C161" s="43" t="s">
        <v>10</v>
      </c>
      <c r="D161" s="48">
        <f>D159*0.08</f>
        <v>1.2</v>
      </c>
      <c r="E161" s="48"/>
      <c r="F161" s="48">
        <f>E161*D161</f>
        <v>0</v>
      </c>
      <c r="G161" s="48"/>
      <c r="H161" s="48"/>
      <c r="I161" s="48"/>
      <c r="J161" s="50"/>
      <c r="K161" s="116">
        <f t="shared" si="49"/>
        <v>0</v>
      </c>
    </row>
    <row r="162" spans="1:11" x14ac:dyDescent="0.35">
      <c r="A162" s="172">
        <v>9</v>
      </c>
      <c r="B162" s="25" t="s">
        <v>266</v>
      </c>
      <c r="C162" s="37" t="s">
        <v>8</v>
      </c>
      <c r="D162" s="60">
        <v>2</v>
      </c>
      <c r="E162" s="114"/>
      <c r="F162" s="114">
        <f t="shared" ref="F162" si="53">E162*D162</f>
        <v>0</v>
      </c>
      <c r="G162" s="114"/>
      <c r="H162" s="114">
        <f>G162*D162</f>
        <v>0</v>
      </c>
      <c r="I162" s="114"/>
      <c r="J162" s="114"/>
      <c r="K162" s="40">
        <f t="shared" si="49"/>
        <v>0</v>
      </c>
    </row>
    <row r="163" spans="1:11" ht="40.5" x14ac:dyDescent="0.35">
      <c r="A163" s="194">
        <v>10</v>
      </c>
      <c r="B163" s="25" t="s">
        <v>267</v>
      </c>
      <c r="C163" s="37" t="s">
        <v>8</v>
      </c>
      <c r="D163" s="60">
        <v>256</v>
      </c>
      <c r="E163" s="114"/>
      <c r="F163" s="114"/>
      <c r="G163" s="21"/>
      <c r="H163" s="114">
        <f t="shared" ref="H163" si="54">G163*D163</f>
        <v>0</v>
      </c>
      <c r="I163" s="21"/>
      <c r="J163" s="114">
        <f t="shared" ref="J163" si="55">I163*D163</f>
        <v>0</v>
      </c>
      <c r="K163" s="114">
        <f t="shared" si="49"/>
        <v>0</v>
      </c>
    </row>
    <row r="164" spans="1:11" x14ac:dyDescent="0.35">
      <c r="A164" s="195"/>
      <c r="B164" s="28" t="s">
        <v>45</v>
      </c>
      <c r="C164" s="17" t="s">
        <v>11</v>
      </c>
      <c r="D164" s="114">
        <f>0.45*D163</f>
        <v>115.2</v>
      </c>
      <c r="E164" s="114"/>
      <c r="F164" s="114">
        <f t="shared" ref="F164:F171" si="56">E164*D164</f>
        <v>0</v>
      </c>
      <c r="G164" s="114"/>
      <c r="H164" s="114"/>
      <c r="I164" s="114"/>
      <c r="J164" s="114"/>
      <c r="K164" s="114">
        <f t="shared" si="49"/>
        <v>0</v>
      </c>
    </row>
    <row r="165" spans="1:11" x14ac:dyDescent="0.35">
      <c r="A165" s="195"/>
      <c r="B165" s="28" t="s">
        <v>41</v>
      </c>
      <c r="C165" s="17" t="s">
        <v>8</v>
      </c>
      <c r="D165" s="30">
        <f>0.009*D163</f>
        <v>2.3039999999999998</v>
      </c>
      <c r="E165" s="114"/>
      <c r="F165" s="114">
        <f t="shared" si="56"/>
        <v>0</v>
      </c>
      <c r="G165" s="114"/>
      <c r="H165" s="114"/>
      <c r="I165" s="114"/>
      <c r="J165" s="114"/>
      <c r="K165" s="114">
        <f t="shared" si="49"/>
        <v>0</v>
      </c>
    </row>
    <row r="166" spans="1:11" x14ac:dyDescent="0.35">
      <c r="A166" s="195"/>
      <c r="B166" s="29" t="s">
        <v>213</v>
      </c>
      <c r="C166" s="17" t="s">
        <v>11</v>
      </c>
      <c r="D166" s="114">
        <f>D163*0.4</f>
        <v>102.4</v>
      </c>
      <c r="E166" s="114"/>
      <c r="F166" s="114">
        <f t="shared" si="56"/>
        <v>0</v>
      </c>
      <c r="G166" s="114"/>
      <c r="I166" s="114"/>
      <c r="J166" s="114"/>
      <c r="K166" s="114">
        <f>J166+G166+F166</f>
        <v>0</v>
      </c>
    </row>
    <row r="167" spans="1:11" x14ac:dyDescent="0.35">
      <c r="A167" s="195"/>
      <c r="B167" s="29" t="s">
        <v>65</v>
      </c>
      <c r="C167" s="17" t="s">
        <v>11</v>
      </c>
      <c r="D167" s="114">
        <f>0.12*D163</f>
        <v>30.72</v>
      </c>
      <c r="E167" s="114"/>
      <c r="F167" s="114">
        <f t="shared" si="56"/>
        <v>0</v>
      </c>
      <c r="G167" s="114"/>
      <c r="H167" s="114"/>
      <c r="I167" s="114"/>
      <c r="J167" s="114"/>
      <c r="K167" s="114">
        <f t="shared" ref="K167:K171" si="57">J167+H167+F167</f>
        <v>0</v>
      </c>
    </row>
    <row r="168" spans="1:11" x14ac:dyDescent="0.35">
      <c r="A168" s="195"/>
      <c r="B168" s="3" t="s">
        <v>46</v>
      </c>
      <c r="C168" s="17" t="s">
        <v>9</v>
      </c>
      <c r="D168" s="114">
        <f>0.6*D163</f>
        <v>153.6</v>
      </c>
      <c r="E168" s="114"/>
      <c r="F168" s="114">
        <f t="shared" si="56"/>
        <v>0</v>
      </c>
      <c r="G168" s="114"/>
      <c r="H168" s="114"/>
      <c r="I168" s="114"/>
      <c r="J168" s="114"/>
      <c r="K168" s="114">
        <f t="shared" si="57"/>
        <v>0</v>
      </c>
    </row>
    <row r="169" spans="1:11" x14ac:dyDescent="0.35">
      <c r="A169" s="195"/>
      <c r="B169" s="44" t="s">
        <v>69</v>
      </c>
      <c r="C169" s="43" t="s">
        <v>19</v>
      </c>
      <c r="D169" s="116">
        <v>4</v>
      </c>
      <c r="E169" s="48"/>
      <c r="F169" s="116">
        <f t="shared" si="56"/>
        <v>0</v>
      </c>
      <c r="G169" s="40"/>
      <c r="H169" s="40"/>
      <c r="I169" s="40"/>
      <c r="J169" s="41"/>
      <c r="K169" s="114">
        <f t="shared" si="57"/>
        <v>0</v>
      </c>
    </row>
    <row r="170" spans="1:11" x14ac:dyDescent="0.35">
      <c r="A170" s="195"/>
      <c r="B170" s="3" t="s">
        <v>43</v>
      </c>
      <c r="C170" s="17" t="s">
        <v>9</v>
      </c>
      <c r="D170" s="114">
        <f>0.26*D163</f>
        <v>66.56</v>
      </c>
      <c r="E170" s="114"/>
      <c r="F170" s="114">
        <f t="shared" si="56"/>
        <v>0</v>
      </c>
      <c r="G170" s="114"/>
      <c r="H170" s="114"/>
      <c r="I170" s="114"/>
      <c r="J170" s="114"/>
      <c r="K170" s="114">
        <f t="shared" si="57"/>
        <v>0</v>
      </c>
    </row>
    <row r="171" spans="1:11" x14ac:dyDescent="0.35">
      <c r="A171" s="196"/>
      <c r="B171" s="3" t="s">
        <v>66</v>
      </c>
      <c r="C171" s="17" t="s">
        <v>10</v>
      </c>
      <c r="D171" s="114">
        <f>D163*0.03</f>
        <v>7.68</v>
      </c>
      <c r="E171" s="114"/>
      <c r="F171" s="114">
        <f t="shared" si="56"/>
        <v>0</v>
      </c>
      <c r="G171" s="114"/>
      <c r="H171" s="114"/>
      <c r="I171" s="114"/>
      <c r="J171" s="114"/>
      <c r="K171" s="114">
        <f t="shared" si="57"/>
        <v>0</v>
      </c>
    </row>
    <row r="172" spans="1:11" x14ac:dyDescent="0.35">
      <c r="A172" s="148"/>
      <c r="B172" s="121" t="s">
        <v>30</v>
      </c>
      <c r="C172" s="37"/>
      <c r="D172" s="60"/>
      <c r="E172" s="114"/>
      <c r="F172" s="114"/>
      <c r="G172" s="114"/>
      <c r="H172" s="114"/>
      <c r="I172" s="114"/>
      <c r="J172" s="114"/>
      <c r="K172" s="40"/>
    </row>
    <row r="173" spans="1:11" ht="27" x14ac:dyDescent="0.35">
      <c r="A173" s="154">
        <v>11</v>
      </c>
      <c r="B173" s="103" t="s">
        <v>268</v>
      </c>
      <c r="C173" s="118" t="s">
        <v>38</v>
      </c>
      <c r="D173" s="60">
        <v>1</v>
      </c>
      <c r="E173" s="21"/>
      <c r="F173" s="114"/>
      <c r="G173" s="21"/>
      <c r="H173" s="114">
        <f t="shared" ref="H173:H178" si="58">G173*D173</f>
        <v>0</v>
      </c>
      <c r="I173" s="21"/>
      <c r="J173" s="114">
        <f t="shared" ref="J173:J176" si="59">I173*D173</f>
        <v>0</v>
      </c>
      <c r="K173" s="114">
        <f t="shared" ref="K173:K180" si="60">J173+H173+F173</f>
        <v>0</v>
      </c>
    </row>
    <row r="174" spans="1:11" ht="27" x14ac:dyDescent="0.35">
      <c r="A174" s="175">
        <v>12</v>
      </c>
      <c r="B174" s="102" t="s">
        <v>269</v>
      </c>
      <c r="C174" s="118" t="s">
        <v>9</v>
      </c>
      <c r="D174" s="60">
        <v>1.5</v>
      </c>
      <c r="E174" s="114"/>
      <c r="F174" s="114">
        <f>E174*D174</f>
        <v>0</v>
      </c>
      <c r="G174" s="114"/>
      <c r="H174" s="114">
        <f t="shared" si="58"/>
        <v>0</v>
      </c>
      <c r="I174" s="114"/>
      <c r="J174" s="114">
        <f t="shared" si="59"/>
        <v>0</v>
      </c>
      <c r="K174" s="114">
        <f t="shared" si="60"/>
        <v>0</v>
      </c>
    </row>
    <row r="175" spans="1:11" x14ac:dyDescent="0.35">
      <c r="A175" s="177"/>
      <c r="B175" s="101" t="s">
        <v>320</v>
      </c>
      <c r="C175" s="119" t="s">
        <v>19</v>
      </c>
      <c r="D175" s="21">
        <v>4</v>
      </c>
      <c r="E175" s="21"/>
      <c r="F175" s="114">
        <f t="shared" ref="F175" si="61">E175*D175</f>
        <v>0</v>
      </c>
      <c r="G175" s="21"/>
      <c r="H175" s="114"/>
      <c r="I175" s="21"/>
      <c r="J175" s="114"/>
      <c r="K175" s="114">
        <f t="shared" si="60"/>
        <v>0</v>
      </c>
    </row>
    <row r="176" spans="1:11" ht="27" x14ac:dyDescent="0.35">
      <c r="A176" s="154">
        <v>13</v>
      </c>
      <c r="B176" s="103" t="s">
        <v>270</v>
      </c>
      <c r="C176" s="118" t="s">
        <v>9</v>
      </c>
      <c r="D176" s="60">
        <v>3</v>
      </c>
      <c r="E176" s="21"/>
      <c r="F176" s="114">
        <f t="shared" ref="F176:F180" si="62">E176*D176</f>
        <v>0</v>
      </c>
      <c r="G176" s="21"/>
      <c r="H176" s="114">
        <f t="shared" si="58"/>
        <v>0</v>
      </c>
      <c r="I176" s="21"/>
      <c r="J176" s="114">
        <f t="shared" si="59"/>
        <v>0</v>
      </c>
      <c r="K176" s="114">
        <f t="shared" si="60"/>
        <v>0</v>
      </c>
    </row>
    <row r="177" spans="1:11" x14ac:dyDescent="0.35">
      <c r="A177" s="200"/>
      <c r="B177" s="101" t="s">
        <v>178</v>
      </c>
      <c r="C177" s="119" t="s">
        <v>9</v>
      </c>
      <c r="D177" s="21">
        <v>2.5</v>
      </c>
      <c r="E177" s="21"/>
      <c r="F177" s="114">
        <f t="shared" si="62"/>
        <v>0</v>
      </c>
      <c r="G177" s="21"/>
      <c r="H177" s="114">
        <f t="shared" si="58"/>
        <v>0</v>
      </c>
      <c r="I177" s="21"/>
      <c r="J177" s="114"/>
      <c r="K177" s="114">
        <f t="shared" si="60"/>
        <v>0</v>
      </c>
    </row>
    <row r="178" spans="1:11" x14ac:dyDescent="0.35">
      <c r="A178" s="201"/>
      <c r="B178" s="101" t="s">
        <v>149</v>
      </c>
      <c r="C178" s="119" t="s">
        <v>38</v>
      </c>
      <c r="D178" s="21">
        <v>2</v>
      </c>
      <c r="E178" s="21"/>
      <c r="F178" s="114">
        <f t="shared" si="62"/>
        <v>0</v>
      </c>
      <c r="G178" s="21"/>
      <c r="H178" s="114">
        <f t="shared" si="58"/>
        <v>0</v>
      </c>
      <c r="I178" s="21"/>
      <c r="J178" s="114"/>
      <c r="K178" s="114">
        <f t="shared" si="60"/>
        <v>0</v>
      </c>
    </row>
    <row r="179" spans="1:11" x14ac:dyDescent="0.35">
      <c r="A179" s="201"/>
      <c r="B179" s="101" t="s">
        <v>151</v>
      </c>
      <c r="C179" s="119" t="s">
        <v>38</v>
      </c>
      <c r="D179" s="21">
        <v>6</v>
      </c>
      <c r="E179" s="21"/>
      <c r="F179" s="114">
        <f t="shared" si="62"/>
        <v>0</v>
      </c>
      <c r="G179" s="21"/>
      <c r="H179" s="114"/>
      <c r="I179" s="21"/>
      <c r="J179" s="114"/>
      <c r="K179" s="114">
        <f t="shared" si="60"/>
        <v>0</v>
      </c>
    </row>
    <row r="180" spans="1:11" x14ac:dyDescent="0.35">
      <c r="A180" s="202"/>
      <c r="B180" s="35" t="s">
        <v>26</v>
      </c>
      <c r="C180" s="119" t="s">
        <v>10</v>
      </c>
      <c r="D180" s="114">
        <v>7</v>
      </c>
      <c r="E180" s="114"/>
      <c r="F180" s="114">
        <f t="shared" si="62"/>
        <v>0</v>
      </c>
      <c r="G180" s="114"/>
      <c r="H180" s="114"/>
      <c r="I180" s="114"/>
      <c r="J180" s="114"/>
      <c r="K180" s="114">
        <f t="shared" si="60"/>
        <v>0</v>
      </c>
    </row>
    <row r="181" spans="1:11" x14ac:dyDescent="0.35">
      <c r="A181" s="118"/>
      <c r="B181" s="121" t="s">
        <v>84</v>
      </c>
      <c r="C181" s="119"/>
      <c r="D181" s="114"/>
      <c r="E181" s="114"/>
      <c r="F181" s="114"/>
      <c r="G181" s="114"/>
      <c r="H181" s="114"/>
      <c r="I181" s="114"/>
      <c r="J181" s="114"/>
      <c r="K181" s="40"/>
    </row>
    <row r="182" spans="1:11" x14ac:dyDescent="0.35">
      <c r="A182" s="185">
        <v>14</v>
      </c>
      <c r="B182" s="117" t="s">
        <v>85</v>
      </c>
      <c r="C182" s="118" t="s">
        <v>38</v>
      </c>
      <c r="D182" s="126">
        <v>1</v>
      </c>
      <c r="E182" s="84"/>
      <c r="F182" s="120"/>
      <c r="G182" s="84"/>
      <c r="H182" s="120">
        <f t="shared" ref="H182" si="63">G182*D182</f>
        <v>0</v>
      </c>
      <c r="I182" s="84"/>
      <c r="J182" s="120">
        <f t="shared" ref="J182" si="64">I182*D182</f>
        <v>0</v>
      </c>
      <c r="K182" s="114">
        <f t="shared" ref="K182:K188" si="65">J182+H182+F182</f>
        <v>0</v>
      </c>
    </row>
    <row r="183" spans="1:11" ht="40.5" x14ac:dyDescent="0.35">
      <c r="A183" s="186"/>
      <c r="B183" s="83" t="s">
        <v>189</v>
      </c>
      <c r="C183" s="115" t="s">
        <v>38</v>
      </c>
      <c r="D183" s="84">
        <v>1</v>
      </c>
      <c r="E183" s="84"/>
      <c r="F183" s="114">
        <f t="shared" ref="F183:F188" si="66">E183*D183</f>
        <v>0</v>
      </c>
      <c r="G183" s="84"/>
      <c r="H183" s="114"/>
      <c r="I183" s="84"/>
      <c r="J183" s="114"/>
      <c r="K183" s="114">
        <f t="shared" si="65"/>
        <v>0</v>
      </c>
    </row>
    <row r="184" spans="1:11" ht="27" x14ac:dyDescent="0.35">
      <c r="A184" s="172">
        <v>15</v>
      </c>
      <c r="B184" s="7" t="s">
        <v>86</v>
      </c>
      <c r="C184" s="85" t="s">
        <v>9</v>
      </c>
      <c r="D184" s="84">
        <v>10</v>
      </c>
      <c r="E184" s="84"/>
      <c r="F184" s="114">
        <f t="shared" si="66"/>
        <v>0</v>
      </c>
      <c r="G184" s="84"/>
      <c r="H184" s="114">
        <f t="shared" ref="H184:H187" si="67">G184*D184</f>
        <v>0</v>
      </c>
      <c r="I184" s="114"/>
      <c r="J184" s="114">
        <f t="shared" ref="J184:J187" si="68">I184*D184</f>
        <v>0</v>
      </c>
      <c r="K184" s="114">
        <f t="shared" si="65"/>
        <v>0</v>
      </c>
    </row>
    <row r="185" spans="1:11" ht="27" x14ac:dyDescent="0.35">
      <c r="A185" s="172">
        <v>16</v>
      </c>
      <c r="B185" s="7" t="s">
        <v>24</v>
      </c>
      <c r="C185" s="115" t="s">
        <v>9</v>
      </c>
      <c r="D185" s="114">
        <v>15</v>
      </c>
      <c r="E185" s="114"/>
      <c r="F185" s="114">
        <f t="shared" si="66"/>
        <v>0</v>
      </c>
      <c r="G185" s="114"/>
      <c r="H185" s="114">
        <f t="shared" si="67"/>
        <v>0</v>
      </c>
      <c r="I185" s="114"/>
      <c r="J185" s="114">
        <f t="shared" si="68"/>
        <v>0</v>
      </c>
      <c r="K185" s="114">
        <f t="shared" si="65"/>
        <v>0</v>
      </c>
    </row>
    <row r="186" spans="1:11" x14ac:dyDescent="0.35">
      <c r="A186" s="172">
        <v>17</v>
      </c>
      <c r="B186" s="86" t="s">
        <v>87</v>
      </c>
      <c r="C186" s="43" t="s">
        <v>19</v>
      </c>
      <c r="D186" s="116">
        <v>3</v>
      </c>
      <c r="E186" s="116"/>
      <c r="F186" s="120">
        <f t="shared" si="66"/>
        <v>0</v>
      </c>
      <c r="G186" s="116"/>
      <c r="H186" s="120">
        <f t="shared" si="67"/>
        <v>0</v>
      </c>
      <c r="I186" s="116"/>
      <c r="J186" s="120">
        <f t="shared" si="68"/>
        <v>0</v>
      </c>
      <c r="K186" s="114">
        <f t="shared" si="65"/>
        <v>0</v>
      </c>
    </row>
    <row r="187" spans="1:11" x14ac:dyDescent="0.35">
      <c r="A187" s="203">
        <v>18</v>
      </c>
      <c r="B187" s="7" t="s">
        <v>25</v>
      </c>
      <c r="C187" s="115" t="s">
        <v>19</v>
      </c>
      <c r="D187" s="114">
        <v>1</v>
      </c>
      <c r="E187" s="114"/>
      <c r="F187" s="120">
        <f t="shared" si="66"/>
        <v>0</v>
      </c>
      <c r="G187" s="114"/>
      <c r="H187" s="120">
        <f t="shared" si="67"/>
        <v>0</v>
      </c>
      <c r="I187" s="114"/>
      <c r="J187" s="120">
        <f t="shared" si="68"/>
        <v>0</v>
      </c>
      <c r="K187" s="114">
        <f t="shared" si="65"/>
        <v>0</v>
      </c>
    </row>
    <row r="188" spans="1:11" x14ac:dyDescent="0.35">
      <c r="A188" s="186"/>
      <c r="B188" s="35" t="s">
        <v>168</v>
      </c>
      <c r="C188" s="119" t="s">
        <v>10</v>
      </c>
      <c r="D188" s="114">
        <v>5</v>
      </c>
      <c r="E188" s="114"/>
      <c r="F188" s="120">
        <f t="shared" si="66"/>
        <v>0</v>
      </c>
      <c r="G188" s="114"/>
      <c r="H188" s="114"/>
      <c r="I188" s="114"/>
      <c r="J188" s="114"/>
      <c r="K188" s="114">
        <f t="shared" si="65"/>
        <v>0</v>
      </c>
    </row>
    <row r="189" spans="1:11" ht="30" customHeight="1" x14ac:dyDescent="0.35">
      <c r="A189" s="130"/>
      <c r="B189" s="131" t="s">
        <v>271</v>
      </c>
      <c r="C189" s="132"/>
      <c r="D189" s="133"/>
      <c r="E189" s="133"/>
      <c r="F189" s="133"/>
      <c r="G189" s="133"/>
      <c r="H189" s="133"/>
      <c r="I189" s="133"/>
      <c r="J189" s="133"/>
      <c r="K189" s="133"/>
    </row>
    <row r="190" spans="1:11" ht="20.149999999999999" customHeight="1" x14ac:dyDescent="0.35">
      <c r="A190" s="122"/>
      <c r="B190" s="121" t="s">
        <v>272</v>
      </c>
      <c r="C190" s="123"/>
      <c r="D190" s="124"/>
      <c r="E190" s="124"/>
      <c r="F190" s="124"/>
      <c r="G190" s="124"/>
      <c r="H190" s="124"/>
      <c r="I190" s="124"/>
      <c r="J190" s="124"/>
      <c r="K190" s="124"/>
    </row>
    <row r="191" spans="1:11" ht="27" x14ac:dyDescent="0.35">
      <c r="A191" s="118">
        <v>1</v>
      </c>
      <c r="B191" s="25" t="s">
        <v>273</v>
      </c>
      <c r="C191" s="37" t="s">
        <v>8</v>
      </c>
      <c r="D191" s="60">
        <f>1.2*1.7</f>
        <v>2.04</v>
      </c>
      <c r="E191" s="114"/>
      <c r="F191" s="114"/>
      <c r="G191" s="114"/>
      <c r="H191" s="114">
        <f>G191*D191</f>
        <v>0</v>
      </c>
      <c r="I191" s="114"/>
      <c r="J191" s="114"/>
      <c r="K191" s="40">
        <f t="shared" ref="K191:K207" si="69">J191+H191+F191</f>
        <v>0</v>
      </c>
    </row>
    <row r="192" spans="1:11" ht="27" x14ac:dyDescent="0.35">
      <c r="A192" s="118">
        <v>2</v>
      </c>
      <c r="B192" s="117" t="s">
        <v>274</v>
      </c>
      <c r="C192" s="118" t="s">
        <v>23</v>
      </c>
      <c r="D192" s="60">
        <f>2.15*1.5</f>
        <v>3.2249999999999996</v>
      </c>
      <c r="E192" s="114"/>
      <c r="F192" s="114">
        <f>E192*D192</f>
        <v>0</v>
      </c>
      <c r="G192" s="114"/>
      <c r="H192" s="114">
        <f t="shared" ref="H192" si="70">G192*D192</f>
        <v>0</v>
      </c>
      <c r="I192" s="114"/>
      <c r="J192" s="114">
        <f>I192*D192</f>
        <v>0</v>
      </c>
      <c r="K192" s="114">
        <f t="shared" si="69"/>
        <v>0</v>
      </c>
    </row>
    <row r="193" spans="1:11" ht="27" x14ac:dyDescent="0.35">
      <c r="A193" s="95">
        <v>3</v>
      </c>
      <c r="B193" s="46" t="s">
        <v>111</v>
      </c>
      <c r="C193" s="95" t="s">
        <v>23</v>
      </c>
      <c r="D193" s="96">
        <v>5</v>
      </c>
      <c r="E193" s="47"/>
      <c r="F193" s="47"/>
      <c r="G193" s="47"/>
      <c r="H193" s="47">
        <f>G193*D193</f>
        <v>0</v>
      </c>
      <c r="I193" s="47"/>
      <c r="J193" s="47"/>
      <c r="K193" s="116">
        <f t="shared" si="69"/>
        <v>0</v>
      </c>
    </row>
    <row r="194" spans="1:11" x14ac:dyDescent="0.35">
      <c r="A194" s="204">
        <v>4</v>
      </c>
      <c r="B194" s="49" t="s">
        <v>61</v>
      </c>
      <c r="C194" s="37" t="s">
        <v>8</v>
      </c>
      <c r="D194" s="38">
        <v>5</v>
      </c>
      <c r="E194" s="39"/>
      <c r="F194" s="116"/>
      <c r="G194" s="21"/>
      <c r="H194" s="114">
        <f t="shared" ref="H194" si="71">G194*D194</f>
        <v>0</v>
      </c>
      <c r="I194" s="21"/>
      <c r="J194" s="114">
        <f>I194*D194</f>
        <v>0</v>
      </c>
      <c r="K194" s="114">
        <f t="shared" si="69"/>
        <v>0</v>
      </c>
    </row>
    <row r="195" spans="1:11" x14ac:dyDescent="0.35">
      <c r="A195" s="205"/>
      <c r="B195" s="69" t="s">
        <v>59</v>
      </c>
      <c r="C195" s="119" t="s">
        <v>11</v>
      </c>
      <c r="D195" s="21">
        <f>D194*6</f>
        <v>30</v>
      </c>
      <c r="E195" s="21"/>
      <c r="F195" s="114">
        <f t="shared" ref="F195:F197" si="72">E195*D195</f>
        <v>0</v>
      </c>
      <c r="G195" s="21"/>
      <c r="H195" s="114"/>
      <c r="I195" s="21"/>
      <c r="J195" s="114">
        <f t="shared" ref="J195" si="73">I195*D195</f>
        <v>0</v>
      </c>
      <c r="K195" s="114">
        <f t="shared" si="69"/>
        <v>0</v>
      </c>
    </row>
    <row r="196" spans="1:11" x14ac:dyDescent="0.35">
      <c r="A196" s="205"/>
      <c r="B196" s="22" t="s">
        <v>60</v>
      </c>
      <c r="C196" s="119" t="s">
        <v>11</v>
      </c>
      <c r="D196" s="21">
        <f>D194*0.18</f>
        <v>0.89999999999999991</v>
      </c>
      <c r="E196" s="21"/>
      <c r="F196" s="114">
        <f t="shared" si="72"/>
        <v>0</v>
      </c>
      <c r="G196" s="21"/>
      <c r="H196" s="114"/>
      <c r="I196" s="21"/>
      <c r="J196" s="114"/>
      <c r="K196" s="114">
        <f t="shared" si="69"/>
        <v>0</v>
      </c>
    </row>
    <row r="197" spans="1:11" x14ac:dyDescent="0.35">
      <c r="A197" s="206"/>
      <c r="B197" s="70" t="s">
        <v>26</v>
      </c>
      <c r="C197" s="119" t="s">
        <v>10</v>
      </c>
      <c r="D197" s="21">
        <f>D194*0.08</f>
        <v>0.4</v>
      </c>
      <c r="E197" s="21"/>
      <c r="F197" s="114">
        <f t="shared" si="72"/>
        <v>0</v>
      </c>
      <c r="G197" s="21"/>
      <c r="H197" s="114"/>
      <c r="I197" s="21"/>
      <c r="J197" s="114"/>
      <c r="K197" s="114">
        <f t="shared" si="69"/>
        <v>0</v>
      </c>
    </row>
    <row r="198" spans="1:11" ht="15" customHeight="1" x14ac:dyDescent="0.35">
      <c r="A198" s="204">
        <v>5</v>
      </c>
      <c r="B198" s="54" t="s">
        <v>180</v>
      </c>
      <c r="C198" s="37" t="s">
        <v>8</v>
      </c>
      <c r="D198" s="38">
        <v>5</v>
      </c>
      <c r="E198" s="39"/>
      <c r="F198" s="116"/>
      <c r="G198" s="116"/>
      <c r="H198" s="40">
        <f t="shared" ref="H198" si="74">G198*D198</f>
        <v>0</v>
      </c>
      <c r="I198" s="116"/>
      <c r="J198" s="41">
        <f t="shared" ref="J198" si="75">I198*D198</f>
        <v>0</v>
      </c>
      <c r="K198" s="40">
        <f t="shared" si="69"/>
        <v>0</v>
      </c>
    </row>
    <row r="199" spans="1:11" x14ac:dyDescent="0.35">
      <c r="A199" s="205"/>
      <c r="B199" s="55" t="s">
        <v>63</v>
      </c>
      <c r="C199" s="43" t="s">
        <v>8</v>
      </c>
      <c r="D199" s="116">
        <f>1.02*D198</f>
        <v>5.0999999999999996</v>
      </c>
      <c r="E199" s="116"/>
      <c r="F199" s="116">
        <f t="shared" ref="F199:F204" si="76">E199*D199</f>
        <v>0</v>
      </c>
      <c r="G199" s="116"/>
      <c r="H199" s="40"/>
      <c r="I199" s="116"/>
      <c r="J199" s="41"/>
      <c r="K199" s="40">
        <f t="shared" si="69"/>
        <v>0</v>
      </c>
    </row>
    <row r="200" spans="1:11" x14ac:dyDescent="0.35">
      <c r="A200" s="205"/>
      <c r="B200" s="165" t="s">
        <v>91</v>
      </c>
      <c r="C200" s="119" t="s">
        <v>9</v>
      </c>
      <c r="D200" s="21">
        <f>D198*2</f>
        <v>10</v>
      </c>
      <c r="E200" s="21"/>
      <c r="F200" s="116">
        <f t="shared" si="76"/>
        <v>0</v>
      </c>
      <c r="G200" s="108"/>
      <c r="H200" s="114"/>
      <c r="I200" s="21"/>
      <c r="J200" s="114"/>
      <c r="K200" s="114">
        <f t="shared" si="69"/>
        <v>0</v>
      </c>
    </row>
    <row r="201" spans="1:11" x14ac:dyDescent="0.35">
      <c r="A201" s="205"/>
      <c r="B201" s="22" t="s">
        <v>92</v>
      </c>
      <c r="C201" s="119" t="s">
        <v>11</v>
      </c>
      <c r="D201" s="21">
        <f>D198*0.4</f>
        <v>2</v>
      </c>
      <c r="E201" s="21"/>
      <c r="F201" s="116">
        <f t="shared" si="76"/>
        <v>0</v>
      </c>
      <c r="G201" s="21"/>
      <c r="H201" s="114"/>
      <c r="I201" s="21"/>
      <c r="J201" s="114"/>
      <c r="K201" s="114">
        <f t="shared" si="69"/>
        <v>0</v>
      </c>
    </row>
    <row r="202" spans="1:11" x14ac:dyDescent="0.35">
      <c r="A202" s="205"/>
      <c r="B202" s="22" t="s">
        <v>93</v>
      </c>
      <c r="C202" s="119" t="s">
        <v>11</v>
      </c>
      <c r="D202" s="21">
        <f>D198*0.1</f>
        <v>0.5</v>
      </c>
      <c r="E202" s="21"/>
      <c r="F202" s="116">
        <f t="shared" si="76"/>
        <v>0</v>
      </c>
      <c r="G202" s="21"/>
      <c r="H202" s="114"/>
      <c r="I202" s="21"/>
      <c r="J202" s="114"/>
      <c r="K202" s="114">
        <f t="shared" si="69"/>
        <v>0</v>
      </c>
    </row>
    <row r="203" spans="1:11" x14ac:dyDescent="0.35">
      <c r="A203" s="205"/>
      <c r="B203" s="22" t="s">
        <v>94</v>
      </c>
      <c r="C203" s="119" t="s">
        <v>11</v>
      </c>
      <c r="D203" s="21">
        <f>D198*0.35</f>
        <v>1.75</v>
      </c>
      <c r="E203" s="21"/>
      <c r="F203" s="116">
        <f t="shared" si="76"/>
        <v>0</v>
      </c>
      <c r="G203" s="21"/>
      <c r="H203" s="114"/>
      <c r="I203" s="21"/>
      <c r="J203" s="114"/>
      <c r="K203" s="114">
        <f t="shared" si="69"/>
        <v>0</v>
      </c>
    </row>
    <row r="204" spans="1:11" x14ac:dyDescent="0.35">
      <c r="A204" s="206"/>
      <c r="B204" s="70" t="s">
        <v>26</v>
      </c>
      <c r="C204" s="119" t="s">
        <v>10</v>
      </c>
      <c r="D204" s="21">
        <f>D198*0.08</f>
        <v>0.4</v>
      </c>
      <c r="E204" s="21"/>
      <c r="F204" s="116">
        <f t="shared" si="76"/>
        <v>0</v>
      </c>
      <c r="G204" s="21"/>
      <c r="H204" s="114"/>
      <c r="I204" s="21"/>
      <c r="J204" s="114"/>
      <c r="K204" s="114">
        <f t="shared" si="69"/>
        <v>0</v>
      </c>
    </row>
    <row r="205" spans="1:11" ht="27" x14ac:dyDescent="0.35">
      <c r="A205" s="182">
        <v>6</v>
      </c>
      <c r="B205" s="32" t="s">
        <v>68</v>
      </c>
      <c r="C205" s="33" t="s">
        <v>8</v>
      </c>
      <c r="D205" s="60">
        <v>82</v>
      </c>
      <c r="E205" s="21"/>
      <c r="F205" s="114"/>
      <c r="G205" s="21"/>
      <c r="H205" s="114">
        <f t="shared" ref="H205" si="77">G205*D205</f>
        <v>0</v>
      </c>
      <c r="I205" s="21"/>
      <c r="J205" s="114">
        <f t="shared" ref="J205" si="78">I205*D205</f>
        <v>0</v>
      </c>
      <c r="K205" s="114">
        <f t="shared" si="69"/>
        <v>0</v>
      </c>
    </row>
    <row r="206" spans="1:11" x14ac:dyDescent="0.35">
      <c r="A206" s="183"/>
      <c r="B206" s="28" t="s">
        <v>45</v>
      </c>
      <c r="C206" s="17" t="s">
        <v>11</v>
      </c>
      <c r="D206" s="114">
        <f>0.45*D205</f>
        <v>36.9</v>
      </c>
      <c r="E206" s="114"/>
      <c r="F206" s="114">
        <f t="shared" ref="F206:F213" si="79">E206*D206</f>
        <v>0</v>
      </c>
      <c r="G206" s="114"/>
      <c r="H206" s="114"/>
      <c r="I206" s="114"/>
      <c r="J206" s="114"/>
      <c r="K206" s="114">
        <f t="shared" si="69"/>
        <v>0</v>
      </c>
    </row>
    <row r="207" spans="1:11" x14ac:dyDescent="0.35">
      <c r="A207" s="183"/>
      <c r="B207" s="28" t="s">
        <v>41</v>
      </c>
      <c r="C207" s="17" t="s">
        <v>8</v>
      </c>
      <c r="D207" s="30">
        <f>0.009*D205</f>
        <v>0.73799999999999999</v>
      </c>
      <c r="E207" s="114"/>
      <c r="F207" s="114">
        <f t="shared" si="79"/>
        <v>0</v>
      </c>
      <c r="G207" s="114"/>
      <c r="H207" s="114"/>
      <c r="I207" s="114"/>
      <c r="J207" s="114"/>
      <c r="K207" s="114">
        <f t="shared" si="69"/>
        <v>0</v>
      </c>
    </row>
    <row r="208" spans="1:11" x14ac:dyDescent="0.35">
      <c r="A208" s="183"/>
      <c r="B208" s="29" t="s">
        <v>98</v>
      </c>
      <c r="C208" s="17" t="s">
        <v>11</v>
      </c>
      <c r="D208" s="114">
        <f>D205*0.4</f>
        <v>32.800000000000004</v>
      </c>
      <c r="E208" s="114"/>
      <c r="F208" s="114">
        <f t="shared" si="79"/>
        <v>0</v>
      </c>
      <c r="G208" s="114"/>
      <c r="I208" s="114"/>
      <c r="J208" s="114"/>
      <c r="K208" s="114">
        <f>J208+G208+F208</f>
        <v>0</v>
      </c>
    </row>
    <row r="209" spans="1:11" x14ac:dyDescent="0.35">
      <c r="A209" s="183"/>
      <c r="B209" s="29" t="s">
        <v>65</v>
      </c>
      <c r="C209" s="17" t="s">
        <v>11</v>
      </c>
      <c r="D209" s="114">
        <f>0.12*D205</f>
        <v>9.84</v>
      </c>
      <c r="E209" s="114"/>
      <c r="F209" s="114">
        <f t="shared" si="79"/>
        <v>0</v>
      </c>
      <c r="G209" s="114"/>
      <c r="H209" s="114"/>
      <c r="I209" s="114"/>
      <c r="J209" s="114"/>
      <c r="K209" s="114">
        <f t="shared" ref="K209:K213" si="80">J209+H209+F209</f>
        <v>0</v>
      </c>
    </row>
    <row r="210" spans="1:11" x14ac:dyDescent="0.35">
      <c r="A210" s="183"/>
      <c r="B210" s="3" t="s">
        <v>46</v>
      </c>
      <c r="C210" s="17" t="s">
        <v>9</v>
      </c>
      <c r="D210" s="114">
        <f>0.6*D205</f>
        <v>49.199999999999996</v>
      </c>
      <c r="E210" s="114"/>
      <c r="F210" s="114">
        <f t="shared" si="79"/>
        <v>0</v>
      </c>
      <c r="G210" s="114"/>
      <c r="H210" s="114"/>
      <c r="I210" s="114"/>
      <c r="J210" s="114"/>
      <c r="K210" s="114">
        <f t="shared" si="80"/>
        <v>0</v>
      </c>
    </row>
    <row r="211" spans="1:11" x14ac:dyDescent="0.35">
      <c r="A211" s="183"/>
      <c r="B211" s="44" t="s">
        <v>69</v>
      </c>
      <c r="C211" s="43" t="s">
        <v>19</v>
      </c>
      <c r="D211" s="116">
        <v>4</v>
      </c>
      <c r="E211" s="48"/>
      <c r="F211" s="116">
        <f t="shared" si="79"/>
        <v>0</v>
      </c>
      <c r="G211" s="40"/>
      <c r="H211" s="40"/>
      <c r="I211" s="40"/>
      <c r="J211" s="41"/>
      <c r="K211" s="114">
        <f t="shared" si="80"/>
        <v>0</v>
      </c>
    </row>
    <row r="212" spans="1:11" x14ac:dyDescent="0.35">
      <c r="A212" s="183"/>
      <c r="B212" s="3" t="s">
        <v>43</v>
      </c>
      <c r="C212" s="17" t="s">
        <v>9</v>
      </c>
      <c r="D212" s="114">
        <f>0.26*D205</f>
        <v>21.32</v>
      </c>
      <c r="E212" s="114"/>
      <c r="F212" s="114">
        <f t="shared" si="79"/>
        <v>0</v>
      </c>
      <c r="G212" s="114"/>
      <c r="H212" s="114"/>
      <c r="I212" s="114"/>
      <c r="J212" s="114"/>
      <c r="K212" s="114">
        <f t="shared" si="80"/>
        <v>0</v>
      </c>
    </row>
    <row r="213" spans="1:11" x14ac:dyDescent="0.35">
      <c r="A213" s="183"/>
      <c r="B213" s="3" t="s">
        <v>66</v>
      </c>
      <c r="C213" s="17" t="s">
        <v>10</v>
      </c>
      <c r="D213" s="114">
        <f>D205*0.03</f>
        <v>2.46</v>
      </c>
      <c r="E213" s="114"/>
      <c r="F213" s="114">
        <f t="shared" si="79"/>
        <v>0</v>
      </c>
      <c r="G213" s="114"/>
      <c r="H213" s="114"/>
      <c r="I213" s="114"/>
      <c r="J213" s="114"/>
      <c r="K213" s="114">
        <f t="shared" si="80"/>
        <v>0</v>
      </c>
    </row>
    <row r="214" spans="1:11" ht="20.149999999999999" customHeight="1" x14ac:dyDescent="0.35">
      <c r="A214" s="134"/>
      <c r="B214" s="121" t="s">
        <v>275</v>
      </c>
      <c r="C214" s="135"/>
      <c r="D214" s="136"/>
      <c r="E214" s="136"/>
      <c r="F214" s="136"/>
      <c r="G214" s="136"/>
      <c r="H214" s="136"/>
      <c r="I214" s="136"/>
      <c r="J214" s="136"/>
      <c r="K214" s="137"/>
    </row>
    <row r="215" spans="1:11" ht="20.149999999999999" customHeight="1" x14ac:dyDescent="0.35">
      <c r="A215" s="100"/>
      <c r="B215" s="166" t="s">
        <v>36</v>
      </c>
      <c r="C215" s="119"/>
      <c r="D215" s="114"/>
      <c r="E215" s="114"/>
      <c r="F215" s="114"/>
      <c r="G215" s="114"/>
      <c r="H215" s="114"/>
      <c r="I215" s="114"/>
      <c r="J215" s="114"/>
      <c r="K215" s="116"/>
    </row>
    <row r="216" spans="1:11" ht="27" x14ac:dyDescent="0.35">
      <c r="A216" s="118">
        <v>7</v>
      </c>
      <c r="B216" s="25" t="s">
        <v>276</v>
      </c>
      <c r="C216" s="37" t="s">
        <v>19</v>
      </c>
      <c r="D216" s="60">
        <v>6</v>
      </c>
      <c r="E216" s="114"/>
      <c r="F216" s="114"/>
      <c r="G216" s="114"/>
      <c r="H216" s="114">
        <f t="shared" ref="H216:H229" si="81">G216*D216</f>
        <v>0</v>
      </c>
      <c r="I216" s="114"/>
      <c r="J216" s="114"/>
      <c r="K216" s="40">
        <f t="shared" ref="K216:K279" si="82">J216+H216+F216</f>
        <v>0</v>
      </c>
    </row>
    <row r="217" spans="1:11" ht="27" x14ac:dyDescent="0.35">
      <c r="A217" s="118">
        <v>8</v>
      </c>
      <c r="B217" s="25" t="s">
        <v>245</v>
      </c>
      <c r="C217" s="37" t="s">
        <v>8</v>
      </c>
      <c r="D217" s="60">
        <f>13.6+19.11</f>
        <v>32.71</v>
      </c>
      <c r="E217" s="114"/>
      <c r="F217" s="114"/>
      <c r="G217" s="114"/>
      <c r="H217" s="114">
        <f t="shared" si="81"/>
        <v>0</v>
      </c>
      <c r="I217" s="114"/>
      <c r="J217" s="114"/>
      <c r="K217" s="40">
        <f t="shared" si="82"/>
        <v>0</v>
      </c>
    </row>
    <row r="218" spans="1:11" ht="27" x14ac:dyDescent="0.35">
      <c r="A218" s="151">
        <v>9</v>
      </c>
      <c r="B218" s="32" t="s">
        <v>277</v>
      </c>
      <c r="C218" s="37" t="s">
        <v>8</v>
      </c>
      <c r="D218" s="60">
        <v>4.5</v>
      </c>
      <c r="E218" s="21"/>
      <c r="F218" s="21"/>
      <c r="G218" s="21"/>
      <c r="H218" s="114">
        <f t="shared" si="81"/>
        <v>0</v>
      </c>
      <c r="I218" s="21"/>
      <c r="J218" s="21"/>
      <c r="K218" s="40">
        <f t="shared" si="82"/>
        <v>0</v>
      </c>
    </row>
    <row r="219" spans="1:11" x14ac:dyDescent="0.35">
      <c r="A219" s="118">
        <v>10</v>
      </c>
      <c r="B219" s="25" t="s">
        <v>278</v>
      </c>
      <c r="C219" s="37" t="s">
        <v>8</v>
      </c>
      <c r="D219" s="60">
        <v>21</v>
      </c>
      <c r="E219" s="114"/>
      <c r="F219" s="114"/>
      <c r="G219" s="114"/>
      <c r="H219" s="114">
        <f t="shared" si="81"/>
        <v>0</v>
      </c>
      <c r="I219" s="114"/>
      <c r="J219" s="114"/>
      <c r="K219" s="40">
        <f t="shared" si="82"/>
        <v>0</v>
      </c>
    </row>
    <row r="220" spans="1:11" ht="27" x14ac:dyDescent="0.35">
      <c r="A220" s="118">
        <v>11</v>
      </c>
      <c r="B220" s="25" t="s">
        <v>279</v>
      </c>
      <c r="C220" s="37" t="s">
        <v>8</v>
      </c>
      <c r="D220" s="60">
        <f>0.9*2.15</f>
        <v>1.9350000000000001</v>
      </c>
      <c r="E220" s="114"/>
      <c r="F220" s="114"/>
      <c r="G220" s="114"/>
      <c r="H220" s="114">
        <f t="shared" si="81"/>
        <v>0</v>
      </c>
      <c r="I220" s="114"/>
      <c r="J220" s="114"/>
      <c r="K220" s="40">
        <f t="shared" si="82"/>
        <v>0</v>
      </c>
    </row>
    <row r="221" spans="1:11" ht="40.5" x14ac:dyDescent="0.35">
      <c r="A221" s="76">
        <v>12</v>
      </c>
      <c r="B221" s="25" t="s">
        <v>280</v>
      </c>
      <c r="C221" s="37" t="s">
        <v>21</v>
      </c>
      <c r="D221" s="60">
        <v>1</v>
      </c>
      <c r="E221" s="114"/>
      <c r="F221" s="114"/>
      <c r="G221" s="114"/>
      <c r="H221" s="114">
        <f t="shared" si="81"/>
        <v>0</v>
      </c>
      <c r="I221" s="114"/>
      <c r="J221" s="114">
        <f>I221*D221</f>
        <v>0</v>
      </c>
      <c r="K221" s="40">
        <f t="shared" si="82"/>
        <v>0</v>
      </c>
    </row>
    <row r="222" spans="1:11" x14ac:dyDescent="0.35">
      <c r="A222" s="76">
        <v>13</v>
      </c>
      <c r="B222" s="25" t="s">
        <v>281</v>
      </c>
      <c r="C222" s="37" t="s">
        <v>19</v>
      </c>
      <c r="D222" s="60">
        <v>1</v>
      </c>
      <c r="E222" s="114"/>
      <c r="F222" s="114"/>
      <c r="G222" s="114"/>
      <c r="H222" s="114">
        <f t="shared" si="81"/>
        <v>0</v>
      </c>
      <c r="I222" s="114"/>
      <c r="J222" s="114">
        <f>I222*D222</f>
        <v>0</v>
      </c>
      <c r="K222" s="40">
        <f t="shared" si="82"/>
        <v>0</v>
      </c>
    </row>
    <row r="223" spans="1:11" ht="27" x14ac:dyDescent="0.35">
      <c r="A223" s="76">
        <v>14</v>
      </c>
      <c r="B223" s="25" t="s">
        <v>282</v>
      </c>
      <c r="C223" s="37" t="s">
        <v>21</v>
      </c>
      <c r="D223" s="60">
        <v>1</v>
      </c>
      <c r="E223" s="114"/>
      <c r="F223" s="114"/>
      <c r="G223" s="114"/>
      <c r="H223" s="114">
        <f t="shared" si="81"/>
        <v>0</v>
      </c>
      <c r="I223" s="114"/>
      <c r="J223" s="114">
        <f>I223*D223</f>
        <v>0</v>
      </c>
      <c r="K223" s="40">
        <f t="shared" si="82"/>
        <v>0</v>
      </c>
    </row>
    <row r="224" spans="1:11" x14ac:dyDescent="0.35">
      <c r="A224" s="175">
        <v>15</v>
      </c>
      <c r="B224" s="164" t="s">
        <v>259</v>
      </c>
      <c r="C224" s="59" t="s">
        <v>260</v>
      </c>
      <c r="D224" s="60">
        <v>15</v>
      </c>
      <c r="E224" s="114"/>
      <c r="F224" s="120"/>
      <c r="G224" s="114"/>
      <c r="H224" s="114">
        <f t="shared" si="81"/>
        <v>0</v>
      </c>
      <c r="I224" s="114"/>
      <c r="J224" s="114"/>
      <c r="K224" s="40">
        <f>J224+H224+F224</f>
        <v>0</v>
      </c>
    </row>
    <row r="225" spans="1:11" ht="40.5" x14ac:dyDescent="0.35">
      <c r="A225" s="118">
        <v>16</v>
      </c>
      <c r="B225" s="25" t="s">
        <v>179</v>
      </c>
      <c r="C225" s="37" t="s">
        <v>8</v>
      </c>
      <c r="D225" s="60">
        <v>16</v>
      </c>
      <c r="E225" s="114"/>
      <c r="F225" s="114"/>
      <c r="G225" s="114"/>
      <c r="H225" s="114">
        <f t="shared" si="81"/>
        <v>0</v>
      </c>
      <c r="I225" s="114"/>
      <c r="J225" s="114"/>
      <c r="K225" s="40">
        <f t="shared" ref="K225:K226" si="83">J225+H225+F225</f>
        <v>0</v>
      </c>
    </row>
    <row r="226" spans="1:11" ht="27" x14ac:dyDescent="0.35">
      <c r="A226" s="118">
        <v>17</v>
      </c>
      <c r="B226" s="25" t="s">
        <v>283</v>
      </c>
      <c r="C226" s="37" t="s">
        <v>8</v>
      </c>
      <c r="D226" s="60">
        <f>1.3*2.15*2+0.9*2.15</f>
        <v>7.5250000000000004</v>
      </c>
      <c r="E226" s="114"/>
      <c r="F226" s="114"/>
      <c r="G226" s="114"/>
      <c r="H226" s="114">
        <f t="shared" si="81"/>
        <v>0</v>
      </c>
      <c r="I226" s="114"/>
      <c r="J226" s="114"/>
      <c r="K226" s="40">
        <f t="shared" si="83"/>
        <v>0</v>
      </c>
    </row>
    <row r="227" spans="1:11" ht="27" x14ac:dyDescent="0.35">
      <c r="A227" s="151">
        <v>18</v>
      </c>
      <c r="B227" s="32" t="s">
        <v>284</v>
      </c>
      <c r="C227" s="37" t="s">
        <v>8</v>
      </c>
      <c r="D227" s="61">
        <v>4</v>
      </c>
      <c r="E227" s="21"/>
      <c r="F227" s="21"/>
      <c r="G227" s="21"/>
      <c r="H227" s="114">
        <f t="shared" si="81"/>
        <v>0</v>
      </c>
      <c r="I227" s="21"/>
      <c r="J227" s="21"/>
      <c r="K227" s="40">
        <f t="shared" si="82"/>
        <v>0</v>
      </c>
    </row>
    <row r="228" spans="1:11" ht="27" x14ac:dyDescent="0.35">
      <c r="A228" s="167">
        <v>19</v>
      </c>
      <c r="B228" s="32" t="s">
        <v>285</v>
      </c>
      <c r="C228" s="168" t="s">
        <v>260</v>
      </c>
      <c r="D228" s="61">
        <f>1*2*0.4</f>
        <v>0.8</v>
      </c>
      <c r="E228" s="21"/>
      <c r="F228" s="21"/>
      <c r="G228" s="21"/>
      <c r="H228" s="114">
        <f t="shared" si="81"/>
        <v>0</v>
      </c>
      <c r="I228" s="21"/>
      <c r="J228" s="21">
        <f>I228*D228</f>
        <v>0</v>
      </c>
      <c r="K228" s="40">
        <f t="shared" si="82"/>
        <v>0</v>
      </c>
    </row>
    <row r="229" spans="1:11" x14ac:dyDescent="0.35">
      <c r="A229" s="182">
        <v>20</v>
      </c>
      <c r="B229" s="169" t="s">
        <v>286</v>
      </c>
      <c r="C229" s="168" t="s">
        <v>260</v>
      </c>
      <c r="D229" s="61">
        <f>2*2*0.4</f>
        <v>1.6</v>
      </c>
      <c r="E229" s="21"/>
      <c r="F229" s="21"/>
      <c r="G229" s="21"/>
      <c r="H229" s="114">
        <f t="shared" si="81"/>
        <v>0</v>
      </c>
      <c r="I229" s="21"/>
      <c r="J229" s="21">
        <f>I229*D229</f>
        <v>0</v>
      </c>
      <c r="K229" s="40">
        <f t="shared" si="82"/>
        <v>0</v>
      </c>
    </row>
    <row r="230" spans="1:11" x14ac:dyDescent="0.35">
      <c r="A230" s="183"/>
      <c r="B230" s="7" t="s">
        <v>287</v>
      </c>
      <c r="C230" s="119" t="s">
        <v>19</v>
      </c>
      <c r="D230" s="21">
        <f>D229*65</f>
        <v>104</v>
      </c>
      <c r="E230" s="21"/>
      <c r="F230" s="21">
        <f>E230*D230</f>
        <v>0</v>
      </c>
      <c r="G230" s="21"/>
      <c r="H230" s="21"/>
      <c r="I230" s="21"/>
      <c r="J230" s="21"/>
      <c r="K230" s="40">
        <f t="shared" si="82"/>
        <v>0</v>
      </c>
    </row>
    <row r="231" spans="1:11" x14ac:dyDescent="0.35">
      <c r="A231" s="183"/>
      <c r="B231" s="7" t="s">
        <v>288</v>
      </c>
      <c r="C231" s="115" t="s">
        <v>230</v>
      </c>
      <c r="D231" s="114">
        <f>D229*0.13</f>
        <v>0.20800000000000002</v>
      </c>
      <c r="E231" s="114"/>
      <c r="F231" s="21">
        <f t="shared" ref="F231:F234" si="84">E231*D231</f>
        <v>0</v>
      </c>
      <c r="G231" s="114"/>
      <c r="H231" s="114"/>
      <c r="I231" s="114"/>
      <c r="J231" s="114"/>
      <c r="K231" s="40">
        <f t="shared" si="82"/>
        <v>0</v>
      </c>
    </row>
    <row r="232" spans="1:11" x14ac:dyDescent="0.35">
      <c r="A232" s="183"/>
      <c r="B232" s="7" t="s">
        <v>289</v>
      </c>
      <c r="C232" s="115" t="s">
        <v>29</v>
      </c>
      <c r="D232" s="114">
        <f>D231*0.31</f>
        <v>6.448000000000001E-2</v>
      </c>
      <c r="E232" s="114"/>
      <c r="F232" s="21">
        <f t="shared" si="84"/>
        <v>0</v>
      </c>
      <c r="G232" s="114"/>
      <c r="H232" s="114"/>
      <c r="I232" s="114"/>
      <c r="J232" s="114"/>
      <c r="K232" s="40">
        <f t="shared" si="82"/>
        <v>0</v>
      </c>
    </row>
    <row r="233" spans="1:11" x14ac:dyDescent="0.35">
      <c r="A233" s="183"/>
      <c r="B233" s="7" t="s">
        <v>290</v>
      </c>
      <c r="C233" s="115" t="s">
        <v>29</v>
      </c>
      <c r="D233" s="170">
        <f>D229*0.0024</f>
        <v>3.8399999999999997E-3</v>
      </c>
      <c r="E233" s="114"/>
      <c r="F233" s="21">
        <f t="shared" si="84"/>
        <v>0</v>
      </c>
      <c r="G233" s="114"/>
      <c r="H233" s="114"/>
      <c r="I233" s="114"/>
      <c r="J233" s="114"/>
      <c r="K233" s="40">
        <f t="shared" si="82"/>
        <v>0</v>
      </c>
    </row>
    <row r="234" spans="1:11" x14ac:dyDescent="0.35">
      <c r="A234" s="184"/>
      <c r="B234" s="7" t="s">
        <v>26</v>
      </c>
      <c r="C234" s="115" t="s">
        <v>10</v>
      </c>
      <c r="D234" s="114">
        <f>D229*1</f>
        <v>1.6</v>
      </c>
      <c r="E234" s="114"/>
      <c r="F234" s="21">
        <f t="shared" si="84"/>
        <v>0</v>
      </c>
      <c r="G234" s="114"/>
      <c r="H234" s="114"/>
      <c r="I234" s="114"/>
      <c r="J234" s="114"/>
      <c r="K234" s="40">
        <f t="shared" si="82"/>
        <v>0</v>
      </c>
    </row>
    <row r="235" spans="1:11" ht="27" x14ac:dyDescent="0.35">
      <c r="A235" s="118">
        <v>21</v>
      </c>
      <c r="B235" s="25" t="s">
        <v>291</v>
      </c>
      <c r="C235" s="118" t="s">
        <v>23</v>
      </c>
      <c r="D235" s="60">
        <f>2*1</f>
        <v>2</v>
      </c>
      <c r="E235" s="114"/>
      <c r="F235" s="114">
        <f>E235*D235</f>
        <v>0</v>
      </c>
      <c r="G235" s="114"/>
      <c r="H235" s="114">
        <f t="shared" ref="H235:H236" si="85">G235*D235</f>
        <v>0</v>
      </c>
      <c r="I235" s="114"/>
      <c r="J235" s="114">
        <f>I235*D235</f>
        <v>0</v>
      </c>
      <c r="K235" s="114">
        <f t="shared" si="82"/>
        <v>0</v>
      </c>
    </row>
    <row r="236" spans="1:11" ht="27" x14ac:dyDescent="0.35">
      <c r="A236" s="194">
        <v>22</v>
      </c>
      <c r="B236" s="25" t="s">
        <v>292</v>
      </c>
      <c r="C236" s="118" t="s">
        <v>9</v>
      </c>
      <c r="D236" s="60">
        <f>(1+2)*2</f>
        <v>6</v>
      </c>
      <c r="E236" s="114"/>
      <c r="F236" s="114"/>
      <c r="G236" s="114"/>
      <c r="H236" s="114">
        <f t="shared" si="85"/>
        <v>0</v>
      </c>
      <c r="I236" s="114"/>
      <c r="J236" s="114"/>
      <c r="K236" s="114">
        <f t="shared" si="82"/>
        <v>0</v>
      </c>
    </row>
    <row r="237" spans="1:11" x14ac:dyDescent="0.35">
      <c r="A237" s="195"/>
      <c r="B237" s="125" t="s">
        <v>229</v>
      </c>
      <c r="C237" s="115" t="s">
        <v>230</v>
      </c>
      <c r="D237" s="114">
        <f>D236*0.0063</f>
        <v>3.78E-2</v>
      </c>
      <c r="E237" s="114"/>
      <c r="F237" s="114">
        <f>E237*D237</f>
        <v>0</v>
      </c>
      <c r="G237" s="114"/>
      <c r="H237" s="114"/>
      <c r="I237" s="114"/>
      <c r="J237" s="114"/>
      <c r="K237" s="114">
        <f t="shared" si="82"/>
        <v>0</v>
      </c>
    </row>
    <row r="238" spans="1:11" x14ac:dyDescent="0.35">
      <c r="A238" s="195"/>
      <c r="B238" s="125" t="s">
        <v>231</v>
      </c>
      <c r="C238" s="115" t="s">
        <v>29</v>
      </c>
      <c r="D238" s="114">
        <f>D236*0.0018</f>
        <v>1.0800000000000001E-2</v>
      </c>
      <c r="E238" s="114"/>
      <c r="F238" s="114">
        <f t="shared" ref="F238:F239" si="86">E238*D238</f>
        <v>0</v>
      </c>
      <c r="G238" s="114"/>
      <c r="H238" s="114"/>
      <c r="I238" s="114"/>
      <c r="J238" s="114"/>
      <c r="K238" s="114">
        <f t="shared" si="82"/>
        <v>0</v>
      </c>
    </row>
    <row r="239" spans="1:11" x14ac:dyDescent="0.35">
      <c r="A239" s="196"/>
      <c r="B239" s="125" t="s">
        <v>26</v>
      </c>
      <c r="C239" s="115" t="s">
        <v>10</v>
      </c>
      <c r="D239" s="114">
        <f>D236*0.1</f>
        <v>0.60000000000000009</v>
      </c>
      <c r="E239" s="114"/>
      <c r="F239" s="114">
        <f t="shared" si="86"/>
        <v>0</v>
      </c>
      <c r="G239" s="114"/>
      <c r="H239" s="114"/>
      <c r="I239" s="114"/>
      <c r="J239" s="114"/>
      <c r="K239" s="114">
        <f t="shared" si="82"/>
        <v>0</v>
      </c>
    </row>
    <row r="240" spans="1:11" ht="27" x14ac:dyDescent="0.35">
      <c r="A240" s="118">
        <v>23</v>
      </c>
      <c r="B240" s="25" t="s">
        <v>232</v>
      </c>
      <c r="C240" s="118" t="s">
        <v>9</v>
      </c>
      <c r="D240" s="60">
        <v>2</v>
      </c>
      <c r="E240" s="114"/>
      <c r="F240" s="114">
        <f>E240*D240</f>
        <v>0</v>
      </c>
      <c r="G240" s="114"/>
      <c r="H240" s="114">
        <f t="shared" ref="H240" si="87">G240*D240</f>
        <v>0</v>
      </c>
      <c r="I240" s="114"/>
      <c r="J240" s="114">
        <f>I240*D240</f>
        <v>0</v>
      </c>
      <c r="K240" s="114">
        <f t="shared" si="82"/>
        <v>0</v>
      </c>
    </row>
    <row r="241" spans="1:11" x14ac:dyDescent="0.35">
      <c r="A241" s="194">
        <v>24</v>
      </c>
      <c r="B241" s="117" t="s">
        <v>293</v>
      </c>
      <c r="C241" s="59" t="s">
        <v>23</v>
      </c>
      <c r="D241" s="60">
        <f>8</f>
        <v>8</v>
      </c>
      <c r="E241" s="114"/>
      <c r="F241" s="114"/>
      <c r="G241" s="114"/>
      <c r="H241" s="114">
        <f>G241*D241</f>
        <v>0</v>
      </c>
      <c r="I241" s="114"/>
      <c r="J241" s="114">
        <f>I241*D241</f>
        <v>0</v>
      </c>
      <c r="K241" s="40">
        <f t="shared" si="82"/>
        <v>0</v>
      </c>
    </row>
    <row r="242" spans="1:11" x14ac:dyDescent="0.35">
      <c r="A242" s="195"/>
      <c r="B242" s="125" t="s">
        <v>294</v>
      </c>
      <c r="C242" s="115" t="s">
        <v>230</v>
      </c>
      <c r="D242" s="114">
        <f>D241*0.036</f>
        <v>0.28799999999999998</v>
      </c>
      <c r="E242" s="114"/>
      <c r="F242" s="114">
        <f>E242*D242</f>
        <v>0</v>
      </c>
      <c r="G242" s="114"/>
      <c r="H242" s="114"/>
      <c r="I242" s="114"/>
      <c r="J242" s="114"/>
      <c r="K242" s="114">
        <f t="shared" si="82"/>
        <v>0</v>
      </c>
    </row>
    <row r="243" spans="1:11" x14ac:dyDescent="0.35">
      <c r="A243" s="195"/>
      <c r="B243" s="125" t="s">
        <v>295</v>
      </c>
      <c r="C243" s="115" t="s">
        <v>29</v>
      </c>
      <c r="D243" s="114">
        <f>D241*0.0118</f>
        <v>9.4399999999999998E-2</v>
      </c>
      <c r="E243" s="114"/>
      <c r="F243" s="114">
        <f t="shared" ref="F243:F244" si="88">E243*D243</f>
        <v>0</v>
      </c>
      <c r="G243" s="114"/>
      <c r="H243" s="114"/>
      <c r="I243" s="114"/>
      <c r="J243" s="114"/>
      <c r="K243" s="114">
        <f t="shared" si="82"/>
        <v>0</v>
      </c>
    </row>
    <row r="244" spans="1:11" x14ac:dyDescent="0.35">
      <c r="A244" s="196"/>
      <c r="B244" s="125" t="s">
        <v>26</v>
      </c>
      <c r="C244" s="115" t="s">
        <v>10</v>
      </c>
      <c r="D244" s="114">
        <f>D241*0.5</f>
        <v>4</v>
      </c>
      <c r="E244" s="114"/>
      <c r="F244" s="114">
        <f t="shared" si="88"/>
        <v>0</v>
      </c>
      <c r="G244" s="114"/>
      <c r="H244" s="114"/>
      <c r="I244" s="114"/>
      <c r="J244" s="114"/>
      <c r="K244" s="114">
        <f t="shared" si="82"/>
        <v>0</v>
      </c>
    </row>
    <row r="245" spans="1:11" x14ac:dyDescent="0.35">
      <c r="A245" s="182">
        <v>25</v>
      </c>
      <c r="B245" s="32" t="s">
        <v>296</v>
      </c>
      <c r="C245" s="59" t="s">
        <v>23</v>
      </c>
      <c r="D245" s="60">
        <v>4</v>
      </c>
      <c r="E245" s="21"/>
      <c r="F245" s="21"/>
      <c r="G245" s="21"/>
      <c r="H245" s="21">
        <f>G245*D245</f>
        <v>0</v>
      </c>
      <c r="I245" s="21"/>
      <c r="J245" s="21">
        <f>I245*D245</f>
        <v>0</v>
      </c>
      <c r="K245" s="114">
        <f t="shared" si="82"/>
        <v>0</v>
      </c>
    </row>
    <row r="246" spans="1:11" x14ac:dyDescent="0.35">
      <c r="A246" s="183"/>
      <c r="B246" s="125" t="s">
        <v>297</v>
      </c>
      <c r="C246" s="115" t="s">
        <v>230</v>
      </c>
      <c r="D246" s="114">
        <f>D245*0.031</f>
        <v>0.124</v>
      </c>
      <c r="E246" s="114"/>
      <c r="F246" s="114">
        <f>E246*D246</f>
        <v>0</v>
      </c>
      <c r="G246" s="114"/>
      <c r="H246" s="114"/>
      <c r="I246" s="114"/>
      <c r="J246" s="114"/>
      <c r="K246" s="114">
        <f t="shared" si="82"/>
        <v>0</v>
      </c>
    </row>
    <row r="247" spans="1:11" x14ac:dyDescent="0.35">
      <c r="A247" s="183"/>
      <c r="B247" s="125" t="s">
        <v>298</v>
      </c>
      <c r="C247" s="115" t="s">
        <v>29</v>
      </c>
      <c r="D247" s="114">
        <f>D245*0.0113</f>
        <v>4.5199999999999997E-2</v>
      </c>
      <c r="E247" s="114"/>
      <c r="F247" s="114">
        <f t="shared" ref="F247" si="89">E247*D247</f>
        <v>0</v>
      </c>
      <c r="G247" s="114"/>
      <c r="H247" s="114"/>
      <c r="I247" s="114"/>
      <c r="J247" s="114"/>
      <c r="K247" s="114">
        <f t="shared" si="82"/>
        <v>0</v>
      </c>
    </row>
    <row r="248" spans="1:11" x14ac:dyDescent="0.35">
      <c r="A248" s="183"/>
      <c r="B248" s="7" t="s">
        <v>299</v>
      </c>
      <c r="C248" s="119" t="s">
        <v>11</v>
      </c>
      <c r="D248" s="21"/>
      <c r="E248" s="21"/>
      <c r="F248" s="21"/>
      <c r="G248" s="21"/>
      <c r="H248" s="21"/>
      <c r="I248" s="21"/>
      <c r="J248" s="21"/>
      <c r="K248" s="114">
        <f t="shared" si="82"/>
        <v>0</v>
      </c>
    </row>
    <row r="249" spans="1:11" x14ac:dyDescent="0.35">
      <c r="A249" s="184"/>
      <c r="B249" s="125" t="s">
        <v>26</v>
      </c>
      <c r="C249" s="115" t="s">
        <v>10</v>
      </c>
      <c r="D249" s="114">
        <f>D246*0.5</f>
        <v>6.2E-2</v>
      </c>
      <c r="E249" s="114"/>
      <c r="F249" s="114">
        <f t="shared" ref="F249" si="90">E249*D249</f>
        <v>0</v>
      </c>
      <c r="G249" s="114"/>
      <c r="H249" s="114"/>
      <c r="I249" s="114"/>
      <c r="J249" s="114"/>
      <c r="K249" s="114">
        <f t="shared" si="82"/>
        <v>0</v>
      </c>
    </row>
    <row r="250" spans="1:11" ht="27" x14ac:dyDescent="0.35">
      <c r="A250" s="182">
        <v>26</v>
      </c>
      <c r="B250" s="25" t="s">
        <v>300</v>
      </c>
      <c r="C250" s="59" t="s">
        <v>23</v>
      </c>
      <c r="D250" s="60">
        <v>5.5</v>
      </c>
      <c r="E250" s="114"/>
      <c r="F250" s="114"/>
      <c r="G250" s="114"/>
      <c r="H250" s="114">
        <f>G250*D250</f>
        <v>0</v>
      </c>
      <c r="I250" s="114"/>
      <c r="J250" s="114"/>
      <c r="K250" s="114">
        <f t="shared" si="82"/>
        <v>0</v>
      </c>
    </row>
    <row r="251" spans="1:11" x14ac:dyDescent="0.35">
      <c r="A251" s="183"/>
      <c r="B251" s="125" t="s">
        <v>301</v>
      </c>
      <c r="C251" s="115" t="s">
        <v>11</v>
      </c>
      <c r="D251" s="114">
        <f>D250*0.59</f>
        <v>3.2449999999999997</v>
      </c>
      <c r="E251" s="114"/>
      <c r="F251" s="114">
        <f>E251*D251</f>
        <v>0</v>
      </c>
      <c r="G251" s="114"/>
      <c r="H251" s="114"/>
      <c r="I251" s="114"/>
      <c r="J251" s="114"/>
      <c r="K251" s="114">
        <f t="shared" si="82"/>
        <v>0</v>
      </c>
    </row>
    <row r="252" spans="1:11" x14ac:dyDescent="0.35">
      <c r="A252" s="183"/>
      <c r="B252" s="125" t="s">
        <v>302</v>
      </c>
      <c r="C252" s="115" t="s">
        <v>11</v>
      </c>
      <c r="D252" s="114">
        <f>D250*0.1</f>
        <v>0.55000000000000004</v>
      </c>
      <c r="E252" s="114"/>
      <c r="F252" s="114">
        <f t="shared" ref="F252:F254" si="91">E252*D252</f>
        <v>0</v>
      </c>
      <c r="G252" s="114"/>
      <c r="H252" s="114"/>
      <c r="I252" s="114"/>
      <c r="J252" s="114"/>
      <c r="K252" s="114">
        <f t="shared" si="82"/>
        <v>0</v>
      </c>
    </row>
    <row r="253" spans="1:11" x14ac:dyDescent="0.35">
      <c r="A253" s="183"/>
      <c r="B253" s="125" t="s">
        <v>303</v>
      </c>
      <c r="C253" s="115" t="s">
        <v>11</v>
      </c>
      <c r="D253" s="114">
        <f>D250*0.15</f>
        <v>0.82499999999999996</v>
      </c>
      <c r="E253" s="114"/>
      <c r="F253" s="114">
        <f t="shared" si="91"/>
        <v>0</v>
      </c>
      <c r="G253" s="114"/>
      <c r="H253" s="114"/>
      <c r="I253" s="114"/>
      <c r="J253" s="114"/>
      <c r="K253" s="114">
        <f t="shared" si="82"/>
        <v>0</v>
      </c>
    </row>
    <row r="254" spans="1:11" x14ac:dyDescent="0.35">
      <c r="A254" s="184"/>
      <c r="B254" s="125" t="s">
        <v>26</v>
      </c>
      <c r="C254" s="115" t="s">
        <v>10</v>
      </c>
      <c r="D254" s="114">
        <f>D251*0.5</f>
        <v>1.6224999999999998</v>
      </c>
      <c r="E254" s="114"/>
      <c r="F254" s="114">
        <f t="shared" si="91"/>
        <v>0</v>
      </c>
      <c r="G254" s="114"/>
      <c r="H254" s="114"/>
      <c r="I254" s="114"/>
      <c r="J254" s="114"/>
      <c r="K254" s="114">
        <f t="shared" si="82"/>
        <v>0</v>
      </c>
    </row>
    <row r="255" spans="1:11" ht="27" x14ac:dyDescent="0.35">
      <c r="A255" s="182">
        <v>27</v>
      </c>
      <c r="B255" s="25" t="s">
        <v>304</v>
      </c>
      <c r="C255" s="37" t="s">
        <v>8</v>
      </c>
      <c r="D255" s="60">
        <v>16.2</v>
      </c>
      <c r="E255" s="114"/>
      <c r="F255" s="114"/>
      <c r="G255" s="114"/>
      <c r="H255" s="114">
        <f>G255*D255</f>
        <v>0</v>
      </c>
      <c r="I255" s="114"/>
      <c r="J255" s="114">
        <f>I255*D255</f>
        <v>0</v>
      </c>
      <c r="K255" s="40">
        <f t="shared" si="82"/>
        <v>0</v>
      </c>
    </row>
    <row r="256" spans="1:11" x14ac:dyDescent="0.35">
      <c r="A256" s="183"/>
      <c r="B256" s="34" t="s">
        <v>143</v>
      </c>
      <c r="C256" s="43" t="s">
        <v>8</v>
      </c>
      <c r="D256" s="114">
        <f>D255*1.05</f>
        <v>17.010000000000002</v>
      </c>
      <c r="E256" s="114"/>
      <c r="F256" s="114">
        <f>E256*D256</f>
        <v>0</v>
      </c>
      <c r="G256" s="114"/>
      <c r="H256" s="114"/>
      <c r="I256" s="114"/>
      <c r="J256" s="114"/>
      <c r="K256" s="40">
        <f t="shared" si="82"/>
        <v>0</v>
      </c>
    </row>
    <row r="257" spans="1:11" x14ac:dyDescent="0.35">
      <c r="A257" s="183"/>
      <c r="B257" s="34" t="s">
        <v>305</v>
      </c>
      <c r="C257" s="43" t="s">
        <v>8</v>
      </c>
      <c r="D257" s="114">
        <f>D255*1.05</f>
        <v>17.010000000000002</v>
      </c>
      <c r="E257" s="114"/>
      <c r="F257" s="114">
        <f>E257*D257</f>
        <v>0</v>
      </c>
      <c r="G257" s="114"/>
      <c r="H257" s="114"/>
      <c r="I257" s="114"/>
      <c r="J257" s="114"/>
      <c r="K257" s="40">
        <f t="shared" si="82"/>
        <v>0</v>
      </c>
    </row>
    <row r="258" spans="1:11" ht="27" x14ac:dyDescent="0.35">
      <c r="A258" s="183"/>
      <c r="B258" s="7" t="s">
        <v>27</v>
      </c>
      <c r="C258" s="119" t="s">
        <v>8</v>
      </c>
      <c r="D258" s="114">
        <f>D255</f>
        <v>16.2</v>
      </c>
      <c r="E258" s="114"/>
      <c r="F258" s="114">
        <f t="shared" ref="F258:F260" si="92">E258*D258</f>
        <v>0</v>
      </c>
      <c r="G258" s="114"/>
      <c r="H258" s="114"/>
      <c r="I258" s="114"/>
      <c r="J258" s="114"/>
      <c r="K258" s="40">
        <f t="shared" si="82"/>
        <v>0</v>
      </c>
    </row>
    <row r="259" spans="1:11" x14ac:dyDescent="0.35">
      <c r="A259" s="183"/>
      <c r="B259" s="35" t="s">
        <v>64</v>
      </c>
      <c r="C259" s="119" t="s">
        <v>8</v>
      </c>
      <c r="D259" s="114">
        <f>D255</f>
        <v>16.2</v>
      </c>
      <c r="E259" s="114"/>
      <c r="F259" s="114">
        <f t="shared" si="92"/>
        <v>0</v>
      </c>
      <c r="G259" s="114"/>
      <c r="H259" s="114"/>
      <c r="I259" s="114"/>
      <c r="J259" s="114"/>
      <c r="K259" s="40">
        <f t="shared" si="82"/>
        <v>0</v>
      </c>
    </row>
    <row r="260" spans="1:11" x14ac:dyDescent="0.35">
      <c r="A260" s="184"/>
      <c r="B260" s="35" t="s">
        <v>26</v>
      </c>
      <c r="C260" s="119" t="s">
        <v>10</v>
      </c>
      <c r="D260" s="114">
        <f>D255*0.1</f>
        <v>1.62</v>
      </c>
      <c r="E260" s="114"/>
      <c r="F260" s="114">
        <f t="shared" si="92"/>
        <v>0</v>
      </c>
      <c r="G260" s="114"/>
      <c r="H260" s="114"/>
      <c r="I260" s="114"/>
      <c r="J260" s="114"/>
      <c r="K260" s="40">
        <f t="shared" si="82"/>
        <v>0</v>
      </c>
    </row>
    <row r="261" spans="1:11" x14ac:dyDescent="0.35">
      <c r="A261" s="182">
        <v>28</v>
      </c>
      <c r="B261" s="74" t="s">
        <v>306</v>
      </c>
      <c r="C261" s="37" t="s">
        <v>8</v>
      </c>
      <c r="D261" s="60">
        <v>12</v>
      </c>
      <c r="E261" s="114"/>
      <c r="F261" s="114"/>
      <c r="G261" s="114"/>
      <c r="H261" s="114">
        <f>G261*D261</f>
        <v>0</v>
      </c>
      <c r="I261" s="114"/>
      <c r="J261" s="114">
        <f>I261*D261</f>
        <v>0</v>
      </c>
      <c r="K261" s="40">
        <f t="shared" si="82"/>
        <v>0</v>
      </c>
    </row>
    <row r="262" spans="1:11" x14ac:dyDescent="0.35">
      <c r="A262" s="183"/>
      <c r="B262" s="34" t="s">
        <v>143</v>
      </c>
      <c r="C262" s="43" t="s">
        <v>8</v>
      </c>
      <c r="D262" s="114">
        <f>D261*2.1</f>
        <v>25.200000000000003</v>
      </c>
      <c r="E262" s="114"/>
      <c r="F262" s="114">
        <f>E262*D262</f>
        <v>0</v>
      </c>
      <c r="G262" s="114"/>
      <c r="H262" s="114"/>
      <c r="I262" s="114"/>
      <c r="J262" s="114"/>
      <c r="K262" s="40">
        <f t="shared" si="82"/>
        <v>0</v>
      </c>
    </row>
    <row r="263" spans="1:11" ht="27" x14ac:dyDescent="0.35">
      <c r="A263" s="183"/>
      <c r="B263" s="7" t="s">
        <v>27</v>
      </c>
      <c r="C263" s="119" t="s">
        <v>8</v>
      </c>
      <c r="D263" s="114">
        <f>D261</f>
        <v>12</v>
      </c>
      <c r="E263" s="114"/>
      <c r="F263" s="114">
        <f t="shared" ref="F263:F265" si="93">E263*D263</f>
        <v>0</v>
      </c>
      <c r="G263" s="114"/>
      <c r="H263" s="114"/>
      <c r="I263" s="114"/>
      <c r="J263" s="114"/>
      <c r="K263" s="40">
        <f t="shared" si="82"/>
        <v>0</v>
      </c>
    </row>
    <row r="264" spans="1:11" x14ac:dyDescent="0.35">
      <c r="A264" s="183"/>
      <c r="B264" s="35" t="s">
        <v>64</v>
      </c>
      <c r="C264" s="119" t="s">
        <v>8</v>
      </c>
      <c r="D264" s="114">
        <f>D263</f>
        <v>12</v>
      </c>
      <c r="E264" s="114"/>
      <c r="F264" s="114">
        <f t="shared" si="93"/>
        <v>0</v>
      </c>
      <c r="G264" s="114"/>
      <c r="H264" s="114"/>
      <c r="I264" s="114"/>
      <c r="J264" s="114"/>
      <c r="K264" s="40">
        <f t="shared" si="82"/>
        <v>0</v>
      </c>
    </row>
    <row r="265" spans="1:11" x14ac:dyDescent="0.35">
      <c r="A265" s="184"/>
      <c r="B265" s="35" t="s">
        <v>26</v>
      </c>
      <c r="C265" s="119" t="s">
        <v>10</v>
      </c>
      <c r="D265" s="114">
        <f>D261*0.1</f>
        <v>1.2000000000000002</v>
      </c>
      <c r="E265" s="114"/>
      <c r="F265" s="114">
        <f t="shared" si="93"/>
        <v>0</v>
      </c>
      <c r="G265" s="114"/>
      <c r="H265" s="114"/>
      <c r="I265" s="114"/>
      <c r="J265" s="114"/>
      <c r="K265" s="40">
        <f t="shared" si="82"/>
        <v>0</v>
      </c>
    </row>
    <row r="266" spans="1:11" x14ac:dyDescent="0.35">
      <c r="A266" s="182">
        <v>29</v>
      </c>
      <c r="B266" s="74" t="s">
        <v>307</v>
      </c>
      <c r="C266" s="37" t="s">
        <v>8</v>
      </c>
      <c r="D266" s="60">
        <f>2.12*3</f>
        <v>6.36</v>
      </c>
      <c r="E266" s="114"/>
      <c r="F266" s="114"/>
      <c r="G266" s="114"/>
      <c r="H266" s="114">
        <f>G266*D266</f>
        <v>0</v>
      </c>
      <c r="I266" s="114"/>
      <c r="J266" s="114">
        <f>I266*D266</f>
        <v>0</v>
      </c>
      <c r="K266" s="40">
        <f t="shared" si="82"/>
        <v>0</v>
      </c>
    </row>
    <row r="267" spans="1:11" x14ac:dyDescent="0.35">
      <c r="A267" s="183"/>
      <c r="B267" s="34" t="s">
        <v>308</v>
      </c>
      <c r="C267" s="43" t="s">
        <v>8</v>
      </c>
      <c r="D267" s="114">
        <f>D266*1.05</f>
        <v>6.6780000000000008</v>
      </c>
      <c r="E267" s="114"/>
      <c r="F267" s="114">
        <f>E267*D267</f>
        <v>0</v>
      </c>
      <c r="G267" s="114"/>
      <c r="H267" s="114"/>
      <c r="I267" s="114"/>
      <c r="J267" s="114"/>
      <c r="K267" s="40">
        <f t="shared" si="82"/>
        <v>0</v>
      </c>
    </row>
    <row r="268" spans="1:11" ht="27" x14ac:dyDescent="0.35">
      <c r="A268" s="183"/>
      <c r="B268" s="7" t="s">
        <v>27</v>
      </c>
      <c r="C268" s="119" t="s">
        <v>8</v>
      </c>
      <c r="D268" s="114">
        <f>D266</f>
        <v>6.36</v>
      </c>
      <c r="E268" s="114"/>
      <c r="F268" s="114">
        <f t="shared" ref="F268:F270" si="94">E268*D268</f>
        <v>0</v>
      </c>
      <c r="G268" s="114"/>
      <c r="H268" s="114"/>
      <c r="I268" s="114"/>
      <c r="J268" s="114"/>
      <c r="K268" s="40">
        <f t="shared" si="82"/>
        <v>0</v>
      </c>
    </row>
    <row r="269" spans="1:11" x14ac:dyDescent="0.35">
      <c r="A269" s="183"/>
      <c r="B269" s="35" t="s">
        <v>64</v>
      </c>
      <c r="C269" s="119" t="s">
        <v>8</v>
      </c>
      <c r="D269" s="114">
        <f>D268</f>
        <v>6.36</v>
      </c>
      <c r="E269" s="114"/>
      <c r="F269" s="114">
        <f t="shared" si="94"/>
        <v>0</v>
      </c>
      <c r="G269" s="114"/>
      <c r="H269" s="114"/>
      <c r="I269" s="114"/>
      <c r="J269" s="114"/>
      <c r="K269" s="40">
        <f t="shared" si="82"/>
        <v>0</v>
      </c>
    </row>
    <row r="270" spans="1:11" x14ac:dyDescent="0.35">
      <c r="A270" s="184"/>
      <c r="B270" s="35" t="s">
        <v>26</v>
      </c>
      <c r="C270" s="119" t="s">
        <v>10</v>
      </c>
      <c r="D270" s="114">
        <f>D266*0.1</f>
        <v>0.63600000000000012</v>
      </c>
      <c r="E270" s="114"/>
      <c r="F270" s="114">
        <f t="shared" si="94"/>
        <v>0</v>
      </c>
      <c r="G270" s="114"/>
      <c r="H270" s="114"/>
      <c r="I270" s="114"/>
      <c r="J270" s="114"/>
      <c r="K270" s="40">
        <f t="shared" si="82"/>
        <v>0</v>
      </c>
    </row>
    <row r="271" spans="1:11" ht="27" x14ac:dyDescent="0.35">
      <c r="A271" s="182">
        <v>30</v>
      </c>
      <c r="B271" s="25" t="s">
        <v>309</v>
      </c>
      <c r="C271" s="37" t="s">
        <v>8</v>
      </c>
      <c r="D271" s="60">
        <f>1.3*2.15*2+0.9*2.15</f>
        <v>7.5250000000000004</v>
      </c>
      <c r="E271" s="114"/>
      <c r="F271" s="114"/>
      <c r="G271" s="114"/>
      <c r="H271" s="114">
        <f>G271*D271</f>
        <v>0</v>
      </c>
      <c r="I271" s="114"/>
      <c r="J271" s="114">
        <f>I271*D271</f>
        <v>0</v>
      </c>
      <c r="K271" s="40">
        <f t="shared" si="82"/>
        <v>0</v>
      </c>
    </row>
    <row r="272" spans="1:11" x14ac:dyDescent="0.35">
      <c r="A272" s="183"/>
      <c r="B272" s="34" t="s">
        <v>143</v>
      </c>
      <c r="C272" s="43" t="s">
        <v>8</v>
      </c>
      <c r="D272" s="114">
        <f>D271*2.1</f>
        <v>15.802500000000002</v>
      </c>
      <c r="E272" s="114"/>
      <c r="F272" s="114">
        <f>E272*D272</f>
        <v>0</v>
      </c>
      <c r="G272" s="114"/>
      <c r="H272" s="114"/>
      <c r="I272" s="114"/>
      <c r="J272" s="114"/>
      <c r="K272" s="40">
        <f t="shared" si="82"/>
        <v>0</v>
      </c>
    </row>
    <row r="273" spans="1:11" ht="27" x14ac:dyDescent="0.35">
      <c r="A273" s="183"/>
      <c r="B273" s="7" t="s">
        <v>27</v>
      </c>
      <c r="C273" s="119" t="s">
        <v>8</v>
      </c>
      <c r="D273" s="114">
        <f>D271</f>
        <v>7.5250000000000004</v>
      </c>
      <c r="E273" s="114"/>
      <c r="F273" s="114">
        <f t="shared" ref="F273:F275" si="95">E273*D273</f>
        <v>0</v>
      </c>
      <c r="G273" s="114"/>
      <c r="H273" s="114"/>
      <c r="I273" s="114"/>
      <c r="J273" s="114"/>
      <c r="K273" s="40">
        <f t="shared" si="82"/>
        <v>0</v>
      </c>
    </row>
    <row r="274" spans="1:11" x14ac:dyDescent="0.35">
      <c r="A274" s="183"/>
      <c r="B274" s="35" t="s">
        <v>64</v>
      </c>
      <c r="C274" s="119" t="s">
        <v>8</v>
      </c>
      <c r="D274" s="114">
        <f>D273</f>
        <v>7.5250000000000004</v>
      </c>
      <c r="E274" s="114"/>
      <c r="F274" s="114">
        <f t="shared" si="95"/>
        <v>0</v>
      </c>
      <c r="G274" s="114"/>
      <c r="H274" s="114"/>
      <c r="I274" s="114"/>
      <c r="J274" s="114"/>
      <c r="K274" s="40">
        <f t="shared" si="82"/>
        <v>0</v>
      </c>
    </row>
    <row r="275" spans="1:11" x14ac:dyDescent="0.35">
      <c r="A275" s="184"/>
      <c r="B275" s="35" t="s">
        <v>26</v>
      </c>
      <c r="C275" s="119" t="s">
        <v>10</v>
      </c>
      <c r="D275" s="114">
        <f>D271*0.1</f>
        <v>0.75250000000000006</v>
      </c>
      <c r="E275" s="114"/>
      <c r="F275" s="114">
        <f t="shared" si="95"/>
        <v>0</v>
      </c>
      <c r="G275" s="114"/>
      <c r="H275" s="114"/>
      <c r="I275" s="114"/>
      <c r="J275" s="114"/>
      <c r="K275" s="40">
        <f t="shared" si="82"/>
        <v>0</v>
      </c>
    </row>
    <row r="276" spans="1:11" x14ac:dyDescent="0.35">
      <c r="A276" s="182">
        <v>31</v>
      </c>
      <c r="B276" s="25" t="s">
        <v>310</v>
      </c>
      <c r="C276" s="37" t="s">
        <v>8</v>
      </c>
      <c r="D276" s="60">
        <v>4</v>
      </c>
      <c r="E276" s="114"/>
      <c r="F276" s="114"/>
      <c r="G276" s="114"/>
      <c r="H276" s="114">
        <f>G276*D276</f>
        <v>0</v>
      </c>
      <c r="I276" s="114"/>
      <c r="J276" s="114">
        <f>I276*D276</f>
        <v>0</v>
      </c>
      <c r="K276" s="40">
        <f t="shared" si="82"/>
        <v>0</v>
      </c>
    </row>
    <row r="277" spans="1:11" x14ac:dyDescent="0.35">
      <c r="A277" s="183"/>
      <c r="B277" s="34" t="s">
        <v>143</v>
      </c>
      <c r="C277" s="43" t="s">
        <v>8</v>
      </c>
      <c r="D277" s="114">
        <f>D276*1.05</f>
        <v>4.2</v>
      </c>
      <c r="E277" s="114"/>
      <c r="F277" s="114">
        <f>E277*D277</f>
        <v>0</v>
      </c>
      <c r="G277" s="114"/>
      <c r="H277" s="114"/>
      <c r="I277" s="114"/>
      <c r="J277" s="114"/>
      <c r="K277" s="40">
        <f t="shared" si="82"/>
        <v>0</v>
      </c>
    </row>
    <row r="278" spans="1:11" ht="27" x14ac:dyDescent="0.35">
      <c r="A278" s="183"/>
      <c r="B278" s="7" t="s">
        <v>27</v>
      </c>
      <c r="C278" s="119" t="s">
        <v>8</v>
      </c>
      <c r="D278" s="114">
        <f>D276</f>
        <v>4</v>
      </c>
      <c r="E278" s="114"/>
      <c r="F278" s="114">
        <f t="shared" ref="F278:F279" si="96">E278*D278</f>
        <v>0</v>
      </c>
      <c r="G278" s="114"/>
      <c r="H278" s="114"/>
      <c r="I278" s="114"/>
      <c r="J278" s="114"/>
      <c r="K278" s="40">
        <f t="shared" si="82"/>
        <v>0</v>
      </c>
    </row>
    <row r="279" spans="1:11" x14ac:dyDescent="0.35">
      <c r="A279" s="184"/>
      <c r="B279" s="35" t="s">
        <v>26</v>
      </c>
      <c r="C279" s="119" t="s">
        <v>10</v>
      </c>
      <c r="D279" s="114">
        <f>D276*0.1</f>
        <v>0.4</v>
      </c>
      <c r="E279" s="114"/>
      <c r="F279" s="114">
        <f t="shared" si="96"/>
        <v>0</v>
      </c>
      <c r="G279" s="114"/>
      <c r="H279" s="114"/>
      <c r="I279" s="114"/>
      <c r="J279" s="114"/>
      <c r="K279" s="40">
        <f t="shared" si="82"/>
        <v>0</v>
      </c>
    </row>
    <row r="280" spans="1:11" x14ac:dyDescent="0.35">
      <c r="A280" s="118">
        <v>32</v>
      </c>
      <c r="B280" s="25" t="s">
        <v>141</v>
      </c>
      <c r="C280" s="37" t="s">
        <v>8</v>
      </c>
      <c r="D280" s="60">
        <f>0.9*2.15</f>
        <v>1.9350000000000001</v>
      </c>
      <c r="E280" s="114"/>
      <c r="F280" s="114">
        <f>E280*D280</f>
        <v>0</v>
      </c>
      <c r="G280" s="114"/>
      <c r="H280" s="114">
        <f>G280*D280</f>
        <v>0</v>
      </c>
      <c r="I280" s="114"/>
      <c r="J280" s="114">
        <f>I280*D280</f>
        <v>0</v>
      </c>
      <c r="K280" s="40">
        <f t="shared" ref="K280:K315" si="97">J280+H280+F280</f>
        <v>0</v>
      </c>
    </row>
    <row r="281" spans="1:11" x14ac:dyDescent="0.35">
      <c r="A281" s="100">
        <v>33</v>
      </c>
      <c r="B281" s="25" t="s">
        <v>311</v>
      </c>
      <c r="C281" s="37" t="s">
        <v>8</v>
      </c>
      <c r="D281" s="60">
        <f>(0.9*2.15)+(1.3*2.15)</f>
        <v>4.7300000000000004</v>
      </c>
      <c r="E281" s="114"/>
      <c r="F281" s="114">
        <f>E281*D281</f>
        <v>0</v>
      </c>
      <c r="G281" s="114"/>
      <c r="H281" s="114">
        <f>G281*D281</f>
        <v>0</v>
      </c>
      <c r="I281" s="114"/>
      <c r="J281" s="114">
        <f>I281*D281</f>
        <v>0</v>
      </c>
      <c r="K281" s="40">
        <f t="shared" si="97"/>
        <v>0</v>
      </c>
    </row>
    <row r="282" spans="1:11" ht="27" x14ac:dyDescent="0.35">
      <c r="A282" s="182">
        <v>34</v>
      </c>
      <c r="B282" s="105" t="s">
        <v>312</v>
      </c>
      <c r="C282" s="59" t="s">
        <v>8</v>
      </c>
      <c r="D282" s="61">
        <f>32.71+4.5-3.24</f>
        <v>33.97</v>
      </c>
      <c r="E282" s="21"/>
      <c r="F282" s="21"/>
      <c r="G282" s="21"/>
      <c r="H282" s="21">
        <f t="shared" ref="H282" si="98">G282*D282</f>
        <v>0</v>
      </c>
      <c r="I282" s="21"/>
      <c r="J282" s="21">
        <f t="shared" ref="J282" si="99">I282*D282</f>
        <v>0</v>
      </c>
      <c r="K282" s="21">
        <f t="shared" si="97"/>
        <v>0</v>
      </c>
    </row>
    <row r="283" spans="1:11" x14ac:dyDescent="0.35">
      <c r="A283" s="183"/>
      <c r="B283" s="69" t="s">
        <v>172</v>
      </c>
      <c r="C283" s="119" t="s">
        <v>8</v>
      </c>
      <c r="D283" s="21">
        <f>D282*1.03</f>
        <v>34.989100000000001</v>
      </c>
      <c r="E283" s="21"/>
      <c r="F283" s="21">
        <f t="shared" ref="F283:F285" si="100">E283*D283</f>
        <v>0</v>
      </c>
      <c r="G283" s="21"/>
      <c r="H283" s="21"/>
      <c r="I283" s="21"/>
      <c r="J283" s="21"/>
      <c r="K283" s="21">
        <f t="shared" si="97"/>
        <v>0</v>
      </c>
    </row>
    <row r="284" spans="1:11" x14ac:dyDescent="0.35">
      <c r="A284" s="183"/>
      <c r="B284" s="83" t="s">
        <v>154</v>
      </c>
      <c r="C284" s="119" t="s">
        <v>8</v>
      </c>
      <c r="D284" s="21">
        <v>48</v>
      </c>
      <c r="E284" s="21"/>
      <c r="F284" s="21">
        <f t="shared" si="100"/>
        <v>0</v>
      </c>
      <c r="G284" s="21"/>
      <c r="H284" s="21"/>
      <c r="I284" s="21"/>
      <c r="J284" s="21"/>
      <c r="K284" s="21">
        <f t="shared" si="97"/>
        <v>0</v>
      </c>
    </row>
    <row r="285" spans="1:11" x14ac:dyDescent="0.35">
      <c r="A285" s="184"/>
      <c r="B285" s="70" t="s">
        <v>26</v>
      </c>
      <c r="C285" s="119" t="s">
        <v>10</v>
      </c>
      <c r="D285" s="21">
        <f>D282*0.1</f>
        <v>3.3970000000000002</v>
      </c>
      <c r="E285" s="21"/>
      <c r="F285" s="21">
        <f t="shared" si="100"/>
        <v>0</v>
      </c>
      <c r="G285" s="21"/>
      <c r="H285" s="21"/>
      <c r="I285" s="21"/>
      <c r="J285" s="21"/>
      <c r="K285" s="21">
        <f t="shared" si="97"/>
        <v>0</v>
      </c>
    </row>
    <row r="286" spans="1:11" ht="27" x14ac:dyDescent="0.35">
      <c r="A286" s="182">
        <v>35</v>
      </c>
      <c r="B286" s="25" t="s">
        <v>313</v>
      </c>
      <c r="C286" s="33" t="s">
        <v>8</v>
      </c>
      <c r="D286" s="60">
        <v>6</v>
      </c>
      <c r="E286" s="114"/>
      <c r="F286" s="114"/>
      <c r="G286" s="114"/>
      <c r="H286" s="114">
        <f t="shared" ref="H286" si="101">G286*D286</f>
        <v>0</v>
      </c>
      <c r="I286" s="114"/>
      <c r="J286" s="114">
        <f>I286*D286</f>
        <v>0</v>
      </c>
      <c r="K286" s="114">
        <f t="shared" si="97"/>
        <v>0</v>
      </c>
    </row>
    <row r="287" spans="1:11" ht="27" x14ac:dyDescent="0.35">
      <c r="A287" s="183"/>
      <c r="B287" s="6" t="s">
        <v>162</v>
      </c>
      <c r="C287" s="17" t="s">
        <v>8</v>
      </c>
      <c r="D287" s="114">
        <f>D286</f>
        <v>6</v>
      </c>
      <c r="E287" s="114"/>
      <c r="F287" s="114">
        <f t="shared" ref="F287:F289" si="102">E287*D287</f>
        <v>0</v>
      </c>
      <c r="G287" s="114"/>
      <c r="H287" s="114"/>
      <c r="I287" s="114"/>
      <c r="J287" s="114">
        <f t="shared" ref="J287:J303" si="103">I287*D287</f>
        <v>0</v>
      </c>
      <c r="K287" s="114">
        <f t="shared" si="97"/>
        <v>0</v>
      </c>
    </row>
    <row r="288" spans="1:11" x14ac:dyDescent="0.35">
      <c r="A288" s="183"/>
      <c r="B288" s="83" t="s">
        <v>163</v>
      </c>
      <c r="C288" s="17" t="s">
        <v>8</v>
      </c>
      <c r="D288" s="114">
        <f>D287*1.05</f>
        <v>6.3000000000000007</v>
      </c>
      <c r="E288" s="114"/>
      <c r="F288" s="114">
        <f t="shared" si="102"/>
        <v>0</v>
      </c>
      <c r="G288" s="114"/>
      <c r="H288" s="114"/>
      <c r="I288" s="114"/>
      <c r="J288" s="114">
        <f t="shared" si="103"/>
        <v>0</v>
      </c>
      <c r="K288" s="114">
        <f t="shared" si="97"/>
        <v>0</v>
      </c>
    </row>
    <row r="289" spans="1:11" x14ac:dyDescent="0.35">
      <c r="A289" s="184"/>
      <c r="B289" s="70" t="s">
        <v>26</v>
      </c>
      <c r="C289" s="104" t="s">
        <v>10</v>
      </c>
      <c r="D289" s="21">
        <v>1</v>
      </c>
      <c r="E289" s="21"/>
      <c r="F289" s="114">
        <f t="shared" si="102"/>
        <v>0</v>
      </c>
      <c r="G289" s="21"/>
      <c r="H289" s="114"/>
      <c r="I289" s="21"/>
      <c r="J289" s="114">
        <f t="shared" si="103"/>
        <v>0</v>
      </c>
      <c r="K289" s="114">
        <f t="shared" si="97"/>
        <v>0</v>
      </c>
    </row>
    <row r="290" spans="1:11" x14ac:dyDescent="0.35">
      <c r="A290" s="197">
        <v>36</v>
      </c>
      <c r="B290" s="36" t="s">
        <v>252</v>
      </c>
      <c r="C290" s="37" t="s">
        <v>8</v>
      </c>
      <c r="D290" s="38">
        <v>16</v>
      </c>
      <c r="E290" s="57"/>
      <c r="F290" s="116"/>
      <c r="G290" s="116"/>
      <c r="H290" s="40">
        <f t="shared" ref="H290" si="104">G290*D290</f>
        <v>0</v>
      </c>
      <c r="I290" s="116"/>
      <c r="J290" s="41">
        <f t="shared" si="103"/>
        <v>0</v>
      </c>
      <c r="K290" s="40">
        <f t="shared" si="97"/>
        <v>0</v>
      </c>
    </row>
    <row r="291" spans="1:11" x14ac:dyDescent="0.35">
      <c r="A291" s="198"/>
      <c r="B291" s="42" t="s">
        <v>47</v>
      </c>
      <c r="C291" s="43" t="s">
        <v>28</v>
      </c>
      <c r="D291" s="116">
        <f>0.05*D290</f>
        <v>0.8</v>
      </c>
      <c r="E291" s="116"/>
      <c r="F291" s="116">
        <f>E291*D291</f>
        <v>0</v>
      </c>
      <c r="G291" s="116"/>
      <c r="H291" s="40"/>
      <c r="I291" s="116"/>
      <c r="J291" s="41"/>
      <c r="K291" s="40">
        <f t="shared" si="97"/>
        <v>0</v>
      </c>
    </row>
    <row r="292" spans="1:11" x14ac:dyDescent="0.35">
      <c r="A292" s="198"/>
      <c r="B292" s="42" t="s">
        <v>48</v>
      </c>
      <c r="C292" s="43" t="s">
        <v>29</v>
      </c>
      <c r="D292" s="116">
        <f>0.0124*D290</f>
        <v>0.19839999999999999</v>
      </c>
      <c r="E292" s="116"/>
      <c r="F292" s="116">
        <f t="shared" ref="F292:F293" si="105">E292*D292</f>
        <v>0</v>
      </c>
      <c r="G292" s="116"/>
      <c r="H292" s="40"/>
      <c r="I292" s="116"/>
      <c r="J292" s="41"/>
      <c r="K292" s="40">
        <f t="shared" si="97"/>
        <v>0</v>
      </c>
    </row>
    <row r="293" spans="1:11" x14ac:dyDescent="0.35">
      <c r="A293" s="199"/>
      <c r="B293" s="44" t="s">
        <v>26</v>
      </c>
      <c r="C293" s="43" t="s">
        <v>10</v>
      </c>
      <c r="D293" s="116">
        <f>D290*0.2</f>
        <v>3.2</v>
      </c>
      <c r="E293" s="116"/>
      <c r="F293" s="116">
        <f t="shared" si="105"/>
        <v>0</v>
      </c>
      <c r="G293" s="116"/>
      <c r="H293" s="40"/>
      <c r="I293" s="116"/>
      <c r="J293" s="41"/>
      <c r="K293" s="40">
        <f t="shared" si="97"/>
        <v>0</v>
      </c>
    </row>
    <row r="294" spans="1:11" ht="27" x14ac:dyDescent="0.35">
      <c r="A294" s="159">
        <v>37</v>
      </c>
      <c r="B294" s="45" t="s">
        <v>314</v>
      </c>
      <c r="C294" s="37" t="s">
        <v>8</v>
      </c>
      <c r="D294" s="38">
        <v>4</v>
      </c>
      <c r="E294" s="116"/>
      <c r="F294" s="116">
        <f>E294*D294</f>
        <v>0</v>
      </c>
      <c r="G294" s="116"/>
      <c r="H294" s="40">
        <f>G294*D294</f>
        <v>0</v>
      </c>
      <c r="I294" s="116"/>
      <c r="J294" s="41">
        <f>I294*D294</f>
        <v>0</v>
      </c>
      <c r="K294" s="40">
        <f t="shared" si="97"/>
        <v>0</v>
      </c>
    </row>
    <row r="295" spans="1:11" x14ac:dyDescent="0.35">
      <c r="A295" s="185">
        <v>38</v>
      </c>
      <c r="B295" s="45" t="s">
        <v>159</v>
      </c>
      <c r="C295" s="37" t="s">
        <v>8</v>
      </c>
      <c r="D295" s="38">
        <v>4</v>
      </c>
      <c r="E295" s="39"/>
      <c r="F295" s="116"/>
      <c r="G295" s="116"/>
      <c r="H295" s="40">
        <f t="shared" ref="H295" si="106">G295*D295</f>
        <v>0</v>
      </c>
      <c r="I295" s="116"/>
      <c r="J295" s="41">
        <f t="shared" ref="J295:J297" si="107">I295*D295</f>
        <v>0</v>
      </c>
      <c r="K295" s="40">
        <f t="shared" si="97"/>
        <v>0</v>
      </c>
    </row>
    <row r="296" spans="1:11" x14ac:dyDescent="0.35">
      <c r="A296" s="193"/>
      <c r="B296" s="44" t="s">
        <v>160</v>
      </c>
      <c r="C296" s="43" t="s">
        <v>8</v>
      </c>
      <c r="D296" s="116">
        <f>1.05*D295</f>
        <v>4.2</v>
      </c>
      <c r="E296" s="116"/>
      <c r="F296" s="116">
        <f t="shared" ref="F296:F300" si="108">E296*D296</f>
        <v>0</v>
      </c>
      <c r="G296" s="116"/>
      <c r="H296" s="40"/>
      <c r="I296" s="116"/>
      <c r="J296" s="41">
        <f t="shared" si="107"/>
        <v>0</v>
      </c>
      <c r="K296" s="40">
        <f t="shared" si="97"/>
        <v>0</v>
      </c>
    </row>
    <row r="297" spans="1:11" x14ac:dyDescent="0.35">
      <c r="A297" s="193"/>
      <c r="B297" s="44" t="s">
        <v>58</v>
      </c>
      <c r="C297" s="43" t="s">
        <v>11</v>
      </c>
      <c r="D297" s="116">
        <f>6*D295</f>
        <v>24</v>
      </c>
      <c r="E297" s="116"/>
      <c r="F297" s="116">
        <f t="shared" si="108"/>
        <v>0</v>
      </c>
      <c r="G297" s="116"/>
      <c r="H297" s="40"/>
      <c r="I297" s="116"/>
      <c r="J297" s="41">
        <f t="shared" si="107"/>
        <v>0</v>
      </c>
      <c r="K297" s="40">
        <f t="shared" si="97"/>
        <v>0</v>
      </c>
    </row>
    <row r="298" spans="1:11" x14ac:dyDescent="0.35">
      <c r="A298" s="193"/>
      <c r="B298" s="22" t="s">
        <v>67</v>
      </c>
      <c r="C298" s="119" t="s">
        <v>38</v>
      </c>
      <c r="D298" s="21">
        <f>D295*0.1</f>
        <v>0.4</v>
      </c>
      <c r="E298" s="21"/>
      <c r="F298" s="114">
        <f t="shared" si="108"/>
        <v>0</v>
      </c>
      <c r="G298" s="21"/>
      <c r="H298" s="114"/>
      <c r="I298" s="21"/>
      <c r="J298" s="114"/>
      <c r="K298" s="114">
        <f t="shared" si="97"/>
        <v>0</v>
      </c>
    </row>
    <row r="299" spans="1:11" x14ac:dyDescent="0.35">
      <c r="A299" s="193"/>
      <c r="B299" s="44" t="s">
        <v>117</v>
      </c>
      <c r="C299" s="43" t="s">
        <v>11</v>
      </c>
      <c r="D299" s="116">
        <f>0.04*D295</f>
        <v>0.16</v>
      </c>
      <c r="E299" s="116"/>
      <c r="F299" s="116">
        <f t="shared" si="108"/>
        <v>0</v>
      </c>
      <c r="G299" s="116"/>
      <c r="H299" s="40"/>
      <c r="I299" s="116"/>
      <c r="J299" s="41"/>
      <c r="K299" s="40">
        <f t="shared" si="97"/>
        <v>0</v>
      </c>
    </row>
    <row r="300" spans="1:11" x14ac:dyDescent="0.35">
      <c r="A300" s="186"/>
      <c r="B300" s="44" t="s">
        <v>26</v>
      </c>
      <c r="C300" s="43" t="s">
        <v>10</v>
      </c>
      <c r="D300" s="116">
        <f>(D295)*0.03</f>
        <v>0.12</v>
      </c>
      <c r="E300" s="116"/>
      <c r="F300" s="116">
        <f t="shared" si="108"/>
        <v>0</v>
      </c>
      <c r="G300" s="116"/>
      <c r="H300" s="40"/>
      <c r="I300" s="116"/>
      <c r="J300" s="41"/>
      <c r="K300" s="40">
        <f t="shared" si="97"/>
        <v>0</v>
      </c>
    </row>
    <row r="301" spans="1:11" ht="27" x14ac:dyDescent="0.35">
      <c r="A301" s="185">
        <v>39</v>
      </c>
      <c r="B301" s="45" t="s">
        <v>161</v>
      </c>
      <c r="C301" s="37" t="s">
        <v>8</v>
      </c>
      <c r="D301" s="38">
        <v>12</v>
      </c>
      <c r="E301" s="39"/>
      <c r="F301" s="116"/>
      <c r="G301" s="116"/>
      <c r="H301" s="40">
        <f t="shared" ref="H301" si="109">G301*D301</f>
        <v>0</v>
      </c>
      <c r="I301" s="116"/>
      <c r="J301" s="41">
        <f t="shared" si="103"/>
        <v>0</v>
      </c>
      <c r="K301" s="40">
        <f t="shared" si="97"/>
        <v>0</v>
      </c>
    </row>
    <row r="302" spans="1:11" x14ac:dyDescent="0.35">
      <c r="A302" s="193"/>
      <c r="B302" s="44" t="s">
        <v>116</v>
      </c>
      <c r="C302" s="43" t="s">
        <v>8</v>
      </c>
      <c r="D302" s="116">
        <f>1.05*D301</f>
        <v>12.600000000000001</v>
      </c>
      <c r="E302" s="116"/>
      <c r="F302" s="116">
        <f t="shared" ref="F302:F306" si="110">E302*D302</f>
        <v>0</v>
      </c>
      <c r="G302" s="116"/>
      <c r="H302" s="40"/>
      <c r="I302" s="116"/>
      <c r="J302" s="41">
        <f t="shared" si="103"/>
        <v>0</v>
      </c>
      <c r="K302" s="40">
        <f t="shared" si="97"/>
        <v>0</v>
      </c>
    </row>
    <row r="303" spans="1:11" x14ac:dyDescent="0.35">
      <c r="A303" s="193"/>
      <c r="B303" s="44" t="s">
        <v>58</v>
      </c>
      <c r="C303" s="43" t="s">
        <v>11</v>
      </c>
      <c r="D303" s="116">
        <f>6*D301</f>
        <v>72</v>
      </c>
      <c r="E303" s="116"/>
      <c r="F303" s="116">
        <f t="shared" si="110"/>
        <v>0</v>
      </c>
      <c r="G303" s="116"/>
      <c r="H303" s="40"/>
      <c r="I303" s="116"/>
      <c r="J303" s="41">
        <f t="shared" si="103"/>
        <v>0</v>
      </c>
      <c r="K303" s="40">
        <f t="shared" si="97"/>
        <v>0</v>
      </c>
    </row>
    <row r="304" spans="1:11" x14ac:dyDescent="0.35">
      <c r="A304" s="193"/>
      <c r="B304" s="22" t="s">
        <v>67</v>
      </c>
      <c r="C304" s="119" t="s">
        <v>38</v>
      </c>
      <c r="D304" s="21">
        <f>D301*0.1</f>
        <v>1.2000000000000002</v>
      </c>
      <c r="E304" s="21"/>
      <c r="F304" s="114">
        <f t="shared" si="110"/>
        <v>0</v>
      </c>
      <c r="G304" s="21"/>
      <c r="H304" s="114"/>
      <c r="I304" s="21"/>
      <c r="J304" s="114"/>
      <c r="K304" s="114">
        <f t="shared" si="97"/>
        <v>0</v>
      </c>
    </row>
    <row r="305" spans="1:11" x14ac:dyDescent="0.35">
      <c r="A305" s="193"/>
      <c r="B305" s="44" t="s">
        <v>117</v>
      </c>
      <c r="C305" s="43" t="s">
        <v>11</v>
      </c>
      <c r="D305" s="116">
        <f>0.04*D301</f>
        <v>0.48</v>
      </c>
      <c r="E305" s="116"/>
      <c r="F305" s="116">
        <f t="shared" si="110"/>
        <v>0</v>
      </c>
      <c r="G305" s="116"/>
      <c r="H305" s="40"/>
      <c r="I305" s="116"/>
      <c r="J305" s="41"/>
      <c r="K305" s="40">
        <f t="shared" si="97"/>
        <v>0</v>
      </c>
    </row>
    <row r="306" spans="1:11" x14ac:dyDescent="0.35">
      <c r="A306" s="186"/>
      <c r="B306" s="44" t="s">
        <v>26</v>
      </c>
      <c r="C306" s="43" t="s">
        <v>10</v>
      </c>
      <c r="D306" s="116">
        <f>(D301)*0.03</f>
        <v>0.36</v>
      </c>
      <c r="E306" s="116"/>
      <c r="F306" s="116">
        <f t="shared" si="110"/>
        <v>0</v>
      </c>
      <c r="G306" s="116"/>
      <c r="H306" s="40"/>
      <c r="I306" s="116"/>
      <c r="J306" s="41"/>
      <c r="K306" s="40">
        <f t="shared" si="97"/>
        <v>0</v>
      </c>
    </row>
    <row r="307" spans="1:11" ht="27" x14ac:dyDescent="0.35">
      <c r="A307" s="182">
        <v>40</v>
      </c>
      <c r="B307" s="32" t="s">
        <v>315</v>
      </c>
      <c r="C307" s="59" t="s">
        <v>8</v>
      </c>
      <c r="D307" s="61">
        <v>45</v>
      </c>
      <c r="E307" s="21"/>
      <c r="F307" s="21"/>
      <c r="G307" s="21"/>
      <c r="H307" s="21">
        <f t="shared" ref="H307" si="111">G307*D307</f>
        <v>0</v>
      </c>
      <c r="I307" s="21"/>
      <c r="J307" s="21">
        <f t="shared" ref="J307" si="112">I307*D307</f>
        <v>0</v>
      </c>
      <c r="K307" s="21">
        <f t="shared" si="97"/>
        <v>0</v>
      </c>
    </row>
    <row r="308" spans="1:11" x14ac:dyDescent="0.35">
      <c r="A308" s="183"/>
      <c r="B308" s="22" t="s">
        <v>254</v>
      </c>
      <c r="C308" s="119" t="s">
        <v>8</v>
      </c>
      <c r="D308" s="21">
        <f>D307*1.05</f>
        <v>47.25</v>
      </c>
      <c r="E308" s="21"/>
      <c r="F308" s="21">
        <f t="shared" ref="F308:F312" si="113">E308*D308</f>
        <v>0</v>
      </c>
      <c r="G308" s="21"/>
      <c r="H308" s="21"/>
      <c r="I308" s="21"/>
      <c r="J308" s="21"/>
      <c r="K308" s="21">
        <f t="shared" si="97"/>
        <v>0</v>
      </c>
    </row>
    <row r="309" spans="1:11" x14ac:dyDescent="0.35">
      <c r="A309" s="183"/>
      <c r="B309" s="22" t="s">
        <v>156</v>
      </c>
      <c r="C309" s="119" t="s">
        <v>11</v>
      </c>
      <c r="D309" s="21">
        <f>D307*6</f>
        <v>270</v>
      </c>
      <c r="E309" s="21"/>
      <c r="F309" s="21">
        <f t="shared" si="113"/>
        <v>0</v>
      </c>
      <c r="G309" s="21"/>
      <c r="H309" s="21"/>
      <c r="I309" s="21"/>
      <c r="J309" s="21"/>
      <c r="K309" s="21">
        <f t="shared" si="97"/>
        <v>0</v>
      </c>
    </row>
    <row r="310" spans="1:11" x14ac:dyDescent="0.35">
      <c r="A310" s="183"/>
      <c r="B310" s="22" t="s">
        <v>157</v>
      </c>
      <c r="C310" s="119" t="s">
        <v>11</v>
      </c>
      <c r="D310" s="21">
        <f>D307*0.04</f>
        <v>1.8</v>
      </c>
      <c r="E310" s="21"/>
      <c r="F310" s="21">
        <f t="shared" si="113"/>
        <v>0</v>
      </c>
      <c r="G310" s="21"/>
      <c r="H310" s="21"/>
      <c r="I310" s="21"/>
      <c r="J310" s="21"/>
      <c r="K310" s="21">
        <f t="shared" si="97"/>
        <v>0</v>
      </c>
    </row>
    <row r="311" spans="1:11" x14ac:dyDescent="0.35">
      <c r="A311" s="183"/>
      <c r="B311" s="22" t="s">
        <v>158</v>
      </c>
      <c r="C311" s="119" t="s">
        <v>38</v>
      </c>
      <c r="D311" s="21">
        <f>D307*0.1</f>
        <v>4.5</v>
      </c>
      <c r="E311" s="21"/>
      <c r="F311" s="21">
        <f t="shared" si="113"/>
        <v>0</v>
      </c>
      <c r="G311" s="21"/>
      <c r="H311" s="21"/>
      <c r="I311" s="21"/>
      <c r="J311" s="21"/>
      <c r="K311" s="21">
        <f t="shared" si="97"/>
        <v>0</v>
      </c>
    </row>
    <row r="312" spans="1:11" x14ac:dyDescent="0.35">
      <c r="A312" s="184"/>
      <c r="B312" s="22" t="s">
        <v>26</v>
      </c>
      <c r="C312" s="119" t="s">
        <v>10</v>
      </c>
      <c r="D312" s="21">
        <f>D307*0.05</f>
        <v>2.25</v>
      </c>
      <c r="E312" s="21"/>
      <c r="F312" s="21">
        <f t="shared" si="113"/>
        <v>0</v>
      </c>
      <c r="G312" s="21"/>
      <c r="H312" s="21"/>
      <c r="I312" s="21"/>
      <c r="J312" s="21"/>
      <c r="K312" s="21">
        <f t="shared" si="97"/>
        <v>0</v>
      </c>
    </row>
    <row r="313" spans="1:11" ht="27" x14ac:dyDescent="0.35">
      <c r="A313" s="182">
        <v>41</v>
      </c>
      <c r="B313" s="32" t="s">
        <v>316</v>
      </c>
      <c r="C313" s="33" t="s">
        <v>8</v>
      </c>
      <c r="D313" s="60">
        <v>90</v>
      </c>
      <c r="E313" s="21"/>
      <c r="F313" s="114"/>
      <c r="G313" s="21"/>
      <c r="H313" s="114">
        <f t="shared" ref="H313" si="114">G313*D313</f>
        <v>0</v>
      </c>
      <c r="I313" s="21"/>
      <c r="J313" s="114">
        <f t="shared" ref="J313" si="115">I313*D313</f>
        <v>0</v>
      </c>
      <c r="K313" s="114">
        <f t="shared" si="97"/>
        <v>0</v>
      </c>
    </row>
    <row r="314" spans="1:11" x14ac:dyDescent="0.35">
      <c r="A314" s="183"/>
      <c r="B314" s="28" t="s">
        <v>45</v>
      </c>
      <c r="C314" s="17" t="s">
        <v>11</v>
      </c>
      <c r="D314" s="114">
        <f>0.45*D313</f>
        <v>40.5</v>
      </c>
      <c r="E314" s="114"/>
      <c r="F314" s="114">
        <f t="shared" ref="F314:F321" si="116">E314*D314</f>
        <v>0</v>
      </c>
      <c r="G314" s="114"/>
      <c r="H314" s="114"/>
      <c r="I314" s="114"/>
      <c r="J314" s="114"/>
      <c r="K314" s="114">
        <f t="shared" si="97"/>
        <v>0</v>
      </c>
    </row>
    <row r="315" spans="1:11" x14ac:dyDescent="0.35">
      <c r="A315" s="183"/>
      <c r="B315" s="28" t="s">
        <v>41</v>
      </c>
      <c r="C315" s="17" t="s">
        <v>8</v>
      </c>
      <c r="D315" s="30">
        <f>0.009*D313</f>
        <v>0.80999999999999994</v>
      </c>
      <c r="E315" s="114"/>
      <c r="F315" s="114">
        <f t="shared" si="116"/>
        <v>0</v>
      </c>
      <c r="G315" s="114"/>
      <c r="H315" s="114"/>
      <c r="I315" s="114"/>
      <c r="J315" s="114"/>
      <c r="K315" s="114">
        <f t="shared" si="97"/>
        <v>0</v>
      </c>
    </row>
    <row r="316" spans="1:11" x14ac:dyDescent="0.35">
      <c r="A316" s="183"/>
      <c r="B316" s="29" t="s">
        <v>213</v>
      </c>
      <c r="C316" s="17" t="s">
        <v>11</v>
      </c>
      <c r="D316" s="114">
        <f>D313*0.4</f>
        <v>36</v>
      </c>
      <c r="E316" s="114"/>
      <c r="F316" s="114">
        <f t="shared" si="116"/>
        <v>0</v>
      </c>
      <c r="G316" s="114"/>
      <c r="I316" s="114"/>
      <c r="J316" s="114"/>
      <c r="K316" s="114">
        <f>J316+G316+F316</f>
        <v>0</v>
      </c>
    </row>
    <row r="317" spans="1:11" x14ac:dyDescent="0.35">
      <c r="A317" s="183"/>
      <c r="B317" s="29" t="s">
        <v>65</v>
      </c>
      <c r="C317" s="17" t="s">
        <v>11</v>
      </c>
      <c r="D317" s="114">
        <f>0.12*D313</f>
        <v>10.799999999999999</v>
      </c>
      <c r="E317" s="114"/>
      <c r="F317" s="114">
        <f t="shared" si="116"/>
        <v>0</v>
      </c>
      <c r="G317" s="114"/>
      <c r="H317" s="114"/>
      <c r="I317" s="114"/>
      <c r="J317" s="114"/>
      <c r="K317" s="114">
        <f t="shared" ref="K317:K321" si="117">J317+H317+F317</f>
        <v>0</v>
      </c>
    </row>
    <row r="318" spans="1:11" x14ac:dyDescent="0.35">
      <c r="A318" s="183"/>
      <c r="B318" s="3" t="s">
        <v>46</v>
      </c>
      <c r="C318" s="17" t="s">
        <v>9</v>
      </c>
      <c r="D318" s="114">
        <f>0.6*D313</f>
        <v>54</v>
      </c>
      <c r="E318" s="114"/>
      <c r="F318" s="114">
        <f t="shared" si="116"/>
        <v>0</v>
      </c>
      <c r="G318" s="114"/>
      <c r="H318" s="114"/>
      <c r="I318" s="114"/>
      <c r="J318" s="114"/>
      <c r="K318" s="114">
        <f t="shared" si="117"/>
        <v>0</v>
      </c>
    </row>
    <row r="319" spans="1:11" x14ac:dyDescent="0.35">
      <c r="A319" s="183"/>
      <c r="B319" s="44" t="s">
        <v>69</v>
      </c>
      <c r="C319" s="43" t="s">
        <v>19</v>
      </c>
      <c r="D319" s="116">
        <v>4</v>
      </c>
      <c r="E319" s="48"/>
      <c r="F319" s="116">
        <f t="shared" si="116"/>
        <v>0</v>
      </c>
      <c r="G319" s="40"/>
      <c r="H319" s="40"/>
      <c r="I319" s="40"/>
      <c r="J319" s="41"/>
      <c r="K319" s="114">
        <f t="shared" si="117"/>
        <v>0</v>
      </c>
    </row>
    <row r="320" spans="1:11" x14ac:dyDescent="0.35">
      <c r="A320" s="183"/>
      <c r="B320" s="3" t="s">
        <v>43</v>
      </c>
      <c r="C320" s="17" t="s">
        <v>9</v>
      </c>
      <c r="D320" s="114">
        <f>0.26*D313</f>
        <v>23.400000000000002</v>
      </c>
      <c r="E320" s="114"/>
      <c r="F320" s="114">
        <f t="shared" si="116"/>
        <v>0</v>
      </c>
      <c r="G320" s="114"/>
      <c r="H320" s="114"/>
      <c r="I320" s="114"/>
      <c r="J320" s="114"/>
      <c r="K320" s="114">
        <f t="shared" si="117"/>
        <v>0</v>
      </c>
    </row>
    <row r="321" spans="1:11" x14ac:dyDescent="0.35">
      <c r="A321" s="183"/>
      <c r="B321" s="3" t="s">
        <v>66</v>
      </c>
      <c r="C321" s="17" t="s">
        <v>10</v>
      </c>
      <c r="D321" s="114">
        <f>D313*0.03</f>
        <v>2.6999999999999997</v>
      </c>
      <c r="E321" s="114"/>
      <c r="F321" s="114">
        <f t="shared" si="116"/>
        <v>0</v>
      </c>
      <c r="G321" s="114"/>
      <c r="H321" s="114"/>
      <c r="I321" s="114"/>
      <c r="J321" s="114"/>
      <c r="K321" s="114">
        <f t="shared" si="117"/>
        <v>0</v>
      </c>
    </row>
    <row r="322" spans="1:11" x14ac:dyDescent="0.35">
      <c r="A322" s="152"/>
      <c r="B322" s="166" t="s">
        <v>317</v>
      </c>
      <c r="C322" s="119"/>
      <c r="D322" s="21"/>
      <c r="E322" s="21"/>
      <c r="F322" s="21"/>
      <c r="G322" s="21"/>
      <c r="H322" s="21"/>
      <c r="I322" s="21"/>
      <c r="J322" s="21"/>
      <c r="K322" s="21"/>
    </row>
    <row r="323" spans="1:11" ht="27" x14ac:dyDescent="0.35">
      <c r="A323" s="154">
        <v>42</v>
      </c>
      <c r="B323" s="103" t="s">
        <v>200</v>
      </c>
      <c r="C323" s="118" t="s">
        <v>38</v>
      </c>
      <c r="D323" s="60">
        <v>1</v>
      </c>
      <c r="E323" s="21"/>
      <c r="F323" s="114">
        <f t="shared" ref="F323:F343" si="118">E323*D323</f>
        <v>0</v>
      </c>
      <c r="G323" s="21"/>
      <c r="H323" s="114">
        <f t="shared" ref="H323:H327" si="119">G323*D323</f>
        <v>0</v>
      </c>
      <c r="I323" s="21"/>
      <c r="J323" s="114">
        <f t="shared" ref="J323:J324" si="120">I323*D323</f>
        <v>0</v>
      </c>
      <c r="K323" s="114">
        <f t="shared" ref="K323:K343" si="121">J323+H323+F323</f>
        <v>0</v>
      </c>
    </row>
    <row r="324" spans="1:11" x14ac:dyDescent="0.35">
      <c r="A324" s="154">
        <v>43</v>
      </c>
      <c r="B324" s="103" t="s">
        <v>201</v>
      </c>
      <c r="C324" s="118" t="s">
        <v>38</v>
      </c>
      <c r="D324" s="60">
        <v>3</v>
      </c>
      <c r="E324" s="21"/>
      <c r="F324" s="114">
        <f t="shared" si="118"/>
        <v>0</v>
      </c>
      <c r="G324" s="21"/>
      <c r="H324" s="114">
        <f t="shared" si="119"/>
        <v>0</v>
      </c>
      <c r="I324" s="21"/>
      <c r="J324" s="114">
        <f t="shared" si="120"/>
        <v>0</v>
      </c>
      <c r="K324" s="114">
        <f t="shared" si="121"/>
        <v>0</v>
      </c>
    </row>
    <row r="325" spans="1:11" x14ac:dyDescent="0.35">
      <c r="A325" s="154">
        <v>44</v>
      </c>
      <c r="B325" s="103" t="s">
        <v>170</v>
      </c>
      <c r="C325" s="118" t="s">
        <v>19</v>
      </c>
      <c r="D325" s="60">
        <v>3</v>
      </c>
      <c r="E325" s="21"/>
      <c r="F325" s="114">
        <f t="shared" si="118"/>
        <v>0</v>
      </c>
      <c r="G325" s="21"/>
      <c r="H325" s="114">
        <f t="shared" si="119"/>
        <v>0</v>
      </c>
      <c r="I325" s="21"/>
      <c r="J325" s="114"/>
      <c r="K325" s="114">
        <f t="shared" si="121"/>
        <v>0</v>
      </c>
    </row>
    <row r="326" spans="1:11" x14ac:dyDescent="0.35">
      <c r="A326" s="154">
        <v>45</v>
      </c>
      <c r="B326" s="103" t="s">
        <v>318</v>
      </c>
      <c r="C326" s="118" t="s">
        <v>21</v>
      </c>
      <c r="D326" s="60">
        <v>2</v>
      </c>
      <c r="E326" s="21"/>
      <c r="F326" s="114">
        <f t="shared" si="118"/>
        <v>0</v>
      </c>
      <c r="G326" s="21"/>
      <c r="H326" s="114">
        <f t="shared" si="119"/>
        <v>0</v>
      </c>
      <c r="I326" s="21"/>
      <c r="J326" s="114"/>
      <c r="K326" s="114">
        <f t="shared" si="121"/>
        <v>0</v>
      </c>
    </row>
    <row r="327" spans="1:11" ht="27" x14ac:dyDescent="0.35">
      <c r="A327" s="154">
        <v>46</v>
      </c>
      <c r="B327" s="103" t="s">
        <v>319</v>
      </c>
      <c r="C327" s="118" t="s">
        <v>21</v>
      </c>
      <c r="D327" s="60">
        <v>1</v>
      </c>
      <c r="E327" s="21"/>
      <c r="F327" s="114">
        <f t="shared" si="118"/>
        <v>0</v>
      </c>
      <c r="G327" s="21"/>
      <c r="H327" s="114">
        <f t="shared" si="119"/>
        <v>0</v>
      </c>
      <c r="I327" s="21"/>
      <c r="J327" s="114"/>
      <c r="K327" s="114">
        <f t="shared" si="121"/>
        <v>0</v>
      </c>
    </row>
    <row r="328" spans="1:11" x14ac:dyDescent="0.35">
      <c r="A328" s="154">
        <v>47</v>
      </c>
      <c r="B328" s="103" t="s">
        <v>152</v>
      </c>
      <c r="C328" s="118" t="s">
        <v>9</v>
      </c>
      <c r="D328" s="60">
        <v>22</v>
      </c>
      <c r="E328" s="21"/>
      <c r="F328" s="114">
        <f t="shared" si="118"/>
        <v>0</v>
      </c>
      <c r="G328" s="21"/>
      <c r="H328" s="114">
        <f>G328*D328</f>
        <v>0</v>
      </c>
      <c r="I328" s="21"/>
      <c r="J328" s="114">
        <f>I328*D328</f>
        <v>0</v>
      </c>
      <c r="K328" s="114">
        <f t="shared" si="121"/>
        <v>0</v>
      </c>
    </row>
    <row r="329" spans="1:11" x14ac:dyDescent="0.35">
      <c r="A329" s="154">
        <v>48</v>
      </c>
      <c r="B329" s="103" t="s">
        <v>153</v>
      </c>
      <c r="C329" s="118" t="s">
        <v>9</v>
      </c>
      <c r="D329" s="60">
        <v>14</v>
      </c>
      <c r="E329" s="21"/>
      <c r="F329" s="114">
        <f t="shared" si="118"/>
        <v>0</v>
      </c>
      <c r="G329" s="21"/>
      <c r="H329" s="114">
        <f>G329*D329</f>
        <v>0</v>
      </c>
      <c r="I329" s="21"/>
      <c r="J329" s="114">
        <f>I329*D329</f>
        <v>0</v>
      </c>
      <c r="K329" s="114">
        <f t="shared" si="121"/>
        <v>0</v>
      </c>
    </row>
    <row r="330" spans="1:11" x14ac:dyDescent="0.35">
      <c r="A330" s="200"/>
      <c r="B330" s="101" t="s">
        <v>320</v>
      </c>
      <c r="C330" s="119" t="s">
        <v>38</v>
      </c>
      <c r="D330" s="21">
        <v>18</v>
      </c>
      <c r="E330" s="21"/>
      <c r="F330" s="114">
        <f t="shared" si="118"/>
        <v>0</v>
      </c>
      <c r="G330" s="21"/>
      <c r="H330" s="114"/>
      <c r="I330" s="21"/>
      <c r="J330" s="114"/>
      <c r="K330" s="114">
        <f t="shared" si="121"/>
        <v>0</v>
      </c>
    </row>
    <row r="331" spans="1:11" x14ac:dyDescent="0.35">
      <c r="A331" s="201"/>
      <c r="B331" s="101" t="s">
        <v>321</v>
      </c>
      <c r="C331" s="119" t="s">
        <v>38</v>
      </c>
      <c r="D331" s="21">
        <v>12</v>
      </c>
      <c r="E331" s="21"/>
      <c r="F331" s="114">
        <f t="shared" si="118"/>
        <v>0</v>
      </c>
      <c r="G331" s="21"/>
      <c r="H331" s="114"/>
      <c r="I331" s="21"/>
      <c r="J331" s="114"/>
      <c r="K331" s="114">
        <f t="shared" si="121"/>
        <v>0</v>
      </c>
    </row>
    <row r="332" spans="1:11" x14ac:dyDescent="0.35">
      <c r="A332" s="202"/>
      <c r="B332" s="101" t="s">
        <v>26</v>
      </c>
      <c r="D332" s="21">
        <f>(D328+D329)*0.1</f>
        <v>3.6</v>
      </c>
      <c r="E332" s="21"/>
      <c r="F332" s="114">
        <f t="shared" si="118"/>
        <v>0</v>
      </c>
      <c r="G332" s="21"/>
      <c r="H332" s="114"/>
      <c r="I332" s="21"/>
      <c r="J332" s="114"/>
      <c r="K332" s="114">
        <f t="shared" si="121"/>
        <v>0</v>
      </c>
    </row>
    <row r="333" spans="1:11" ht="27" x14ac:dyDescent="0.35">
      <c r="A333" s="154">
        <v>49</v>
      </c>
      <c r="B333" s="103" t="s">
        <v>202</v>
      </c>
      <c r="C333" s="118" t="s">
        <v>9</v>
      </c>
      <c r="D333" s="60">
        <v>44</v>
      </c>
      <c r="E333" s="21"/>
      <c r="F333" s="114">
        <f t="shared" si="118"/>
        <v>0</v>
      </c>
      <c r="G333" s="21"/>
      <c r="H333" s="114">
        <f t="shared" ref="H333:H336" si="122">G333*D333</f>
        <v>0</v>
      </c>
      <c r="I333" s="21"/>
      <c r="J333" s="114">
        <f t="shared" ref="J333" si="123">I333*D333</f>
        <v>0</v>
      </c>
      <c r="K333" s="114">
        <f t="shared" si="121"/>
        <v>0</v>
      </c>
    </row>
    <row r="334" spans="1:11" x14ac:dyDescent="0.35">
      <c r="A334" s="200"/>
      <c r="B334" s="101" t="s">
        <v>178</v>
      </c>
      <c r="C334" s="119" t="s">
        <v>9</v>
      </c>
      <c r="D334" s="21">
        <f>D333</f>
        <v>44</v>
      </c>
      <c r="E334" s="21"/>
      <c r="F334" s="114">
        <f t="shared" si="118"/>
        <v>0</v>
      </c>
      <c r="G334" s="21"/>
      <c r="H334" s="114">
        <f t="shared" si="122"/>
        <v>0</v>
      </c>
      <c r="I334" s="21"/>
      <c r="J334" s="114"/>
      <c r="K334" s="114">
        <f t="shared" si="121"/>
        <v>0</v>
      </c>
    </row>
    <row r="335" spans="1:11" x14ac:dyDescent="0.35">
      <c r="A335" s="201"/>
      <c r="B335" s="101" t="s">
        <v>149</v>
      </c>
      <c r="C335" s="119" t="s">
        <v>38</v>
      </c>
      <c r="D335" s="21">
        <v>13</v>
      </c>
      <c r="E335" s="21"/>
      <c r="F335" s="114">
        <f t="shared" si="118"/>
        <v>0</v>
      </c>
      <c r="G335" s="21"/>
      <c r="H335" s="114">
        <f t="shared" si="122"/>
        <v>0</v>
      </c>
      <c r="I335" s="21"/>
      <c r="J335" s="114"/>
      <c r="K335" s="114">
        <f t="shared" si="121"/>
        <v>0</v>
      </c>
    </row>
    <row r="336" spans="1:11" x14ac:dyDescent="0.35">
      <c r="A336" s="201"/>
      <c r="B336" s="101" t="s">
        <v>150</v>
      </c>
      <c r="C336" s="119" t="s">
        <v>38</v>
      </c>
      <c r="D336" s="21">
        <v>4</v>
      </c>
      <c r="E336" s="21"/>
      <c r="F336" s="114">
        <f t="shared" si="118"/>
        <v>0</v>
      </c>
      <c r="G336" s="21"/>
      <c r="H336" s="114">
        <f t="shared" si="122"/>
        <v>0</v>
      </c>
      <c r="I336" s="21"/>
      <c r="J336" s="114">
        <f t="shared" ref="J336" si="124">I336*D336</f>
        <v>0</v>
      </c>
      <c r="K336" s="114">
        <f t="shared" si="121"/>
        <v>0</v>
      </c>
    </row>
    <row r="337" spans="1:11" x14ac:dyDescent="0.35">
      <c r="A337" s="201"/>
      <c r="B337" s="101" t="s">
        <v>151</v>
      </c>
      <c r="C337" s="119" t="s">
        <v>38</v>
      </c>
      <c r="D337" s="21">
        <v>42</v>
      </c>
      <c r="E337" s="21"/>
      <c r="F337" s="114">
        <f t="shared" si="118"/>
        <v>0</v>
      </c>
      <c r="G337" s="21"/>
      <c r="H337" s="114"/>
      <c r="I337" s="21"/>
      <c r="J337" s="114"/>
      <c r="K337" s="114">
        <f t="shared" si="121"/>
        <v>0</v>
      </c>
    </row>
    <row r="338" spans="1:11" x14ac:dyDescent="0.35">
      <c r="A338" s="202"/>
      <c r="B338" s="35" t="s">
        <v>26</v>
      </c>
      <c r="C338" s="119" t="s">
        <v>10</v>
      </c>
      <c r="D338" s="114">
        <f>D333*0.3</f>
        <v>13.2</v>
      </c>
      <c r="E338" s="114"/>
      <c r="F338" s="114">
        <f t="shared" si="118"/>
        <v>0</v>
      </c>
      <c r="G338" s="114"/>
      <c r="H338" s="114"/>
      <c r="I338" s="114"/>
      <c r="J338" s="114"/>
      <c r="K338" s="40">
        <f t="shared" si="121"/>
        <v>0</v>
      </c>
    </row>
    <row r="339" spans="1:11" ht="40.5" x14ac:dyDescent="0.35">
      <c r="A339" s="100">
        <v>50</v>
      </c>
      <c r="B339" s="102" t="s">
        <v>368</v>
      </c>
      <c r="C339" s="118" t="s">
        <v>21</v>
      </c>
      <c r="D339" s="60">
        <v>2</v>
      </c>
      <c r="E339" s="114"/>
      <c r="F339" s="114">
        <f t="shared" si="118"/>
        <v>0</v>
      </c>
      <c r="G339" s="114"/>
      <c r="H339" s="114">
        <f>G339*D339</f>
        <v>0</v>
      </c>
      <c r="I339" s="114"/>
      <c r="J339" s="114">
        <f>I339*D339</f>
        <v>0</v>
      </c>
      <c r="K339" s="40">
        <f t="shared" si="121"/>
        <v>0</v>
      </c>
    </row>
    <row r="340" spans="1:11" ht="40.5" x14ac:dyDescent="0.35">
      <c r="A340" s="100">
        <v>51</v>
      </c>
      <c r="B340" s="117" t="s">
        <v>322</v>
      </c>
      <c r="C340" s="118" t="s">
        <v>21</v>
      </c>
      <c r="D340" s="60">
        <v>1</v>
      </c>
      <c r="E340" s="21"/>
      <c r="F340" s="21">
        <f t="shared" si="118"/>
        <v>0</v>
      </c>
      <c r="G340" s="21"/>
      <c r="H340" s="114">
        <f>G340*D340</f>
        <v>0</v>
      </c>
      <c r="I340" s="21"/>
      <c r="J340" s="114">
        <f>I340*D340</f>
        <v>0</v>
      </c>
      <c r="K340" s="40">
        <f t="shared" si="121"/>
        <v>0</v>
      </c>
    </row>
    <row r="341" spans="1:11" ht="54" x14ac:dyDescent="0.35">
      <c r="A341" s="100">
        <v>52</v>
      </c>
      <c r="B341" s="117" t="s">
        <v>369</v>
      </c>
      <c r="C341" s="118" t="s">
        <v>9</v>
      </c>
      <c r="D341" s="60">
        <v>15</v>
      </c>
      <c r="E341" s="21"/>
      <c r="F341" s="21">
        <f t="shared" si="118"/>
        <v>0</v>
      </c>
      <c r="G341" s="21"/>
      <c r="H341" s="114">
        <f>G341*D341</f>
        <v>0</v>
      </c>
      <c r="I341" s="21"/>
      <c r="J341" s="114">
        <f>I341*D341</f>
        <v>0</v>
      </c>
      <c r="K341" s="40">
        <f t="shared" si="121"/>
        <v>0</v>
      </c>
    </row>
    <row r="342" spans="1:11" ht="27" x14ac:dyDescent="0.35">
      <c r="A342" s="100">
        <v>53</v>
      </c>
      <c r="B342" s="117" t="s">
        <v>323</v>
      </c>
      <c r="C342" s="118" t="s">
        <v>21</v>
      </c>
      <c r="D342" s="60">
        <v>1</v>
      </c>
      <c r="E342" s="21"/>
      <c r="F342" s="21">
        <f t="shared" si="118"/>
        <v>0</v>
      </c>
      <c r="G342" s="21"/>
      <c r="H342" s="114">
        <f>G342*D342</f>
        <v>0</v>
      </c>
      <c r="I342" s="21"/>
      <c r="J342" s="114">
        <f>I342*D342</f>
        <v>0</v>
      </c>
      <c r="K342" s="40">
        <f t="shared" si="121"/>
        <v>0</v>
      </c>
    </row>
    <row r="343" spans="1:11" ht="40.5" x14ac:dyDescent="0.35">
      <c r="A343" s="100">
        <v>54</v>
      </c>
      <c r="B343" s="25" t="s">
        <v>324</v>
      </c>
      <c r="C343" s="118" t="s">
        <v>8</v>
      </c>
      <c r="D343" s="60">
        <v>2.5</v>
      </c>
      <c r="E343" s="114"/>
      <c r="F343" s="114">
        <f t="shared" si="118"/>
        <v>0</v>
      </c>
      <c r="G343" s="114"/>
      <c r="H343" s="114">
        <f>G343*D343</f>
        <v>0</v>
      </c>
      <c r="I343" s="114"/>
      <c r="J343" s="114">
        <f>I343*D343</f>
        <v>0</v>
      </c>
      <c r="K343" s="114">
        <f t="shared" si="121"/>
        <v>0</v>
      </c>
    </row>
    <row r="344" spans="1:11" x14ac:dyDescent="0.35">
      <c r="A344" s="118"/>
      <c r="B344" s="166" t="s">
        <v>84</v>
      </c>
      <c r="C344" s="119"/>
      <c r="D344" s="114"/>
      <c r="E344" s="114"/>
      <c r="F344" s="114"/>
      <c r="G344" s="114"/>
      <c r="H344" s="114"/>
      <c r="I344" s="114"/>
      <c r="J344" s="114"/>
      <c r="K344" s="40"/>
    </row>
    <row r="345" spans="1:11" x14ac:dyDescent="0.35">
      <c r="A345" s="185">
        <v>55</v>
      </c>
      <c r="B345" s="117" t="s">
        <v>85</v>
      </c>
      <c r="C345" s="118" t="s">
        <v>38</v>
      </c>
      <c r="D345" s="126">
        <v>7</v>
      </c>
      <c r="E345" s="84"/>
      <c r="F345" s="120"/>
      <c r="G345" s="84"/>
      <c r="H345" s="120">
        <f t="shared" ref="H345" si="125">G345*D345</f>
        <v>0</v>
      </c>
      <c r="I345" s="84"/>
      <c r="J345" s="120">
        <f t="shared" ref="J345" si="126">I345*D345</f>
        <v>0</v>
      </c>
      <c r="K345" s="114">
        <f t="shared" ref="K345:K354" si="127">J345+H345+F345</f>
        <v>0</v>
      </c>
    </row>
    <row r="346" spans="1:11" ht="40.5" x14ac:dyDescent="0.35">
      <c r="A346" s="186"/>
      <c r="B346" s="83" t="s">
        <v>189</v>
      </c>
      <c r="C346" s="115" t="s">
        <v>38</v>
      </c>
      <c r="D346" s="84">
        <v>7</v>
      </c>
      <c r="E346" s="84"/>
      <c r="F346" s="114">
        <f t="shared" ref="F346:F354" si="128">E346*D346</f>
        <v>0</v>
      </c>
      <c r="G346" s="84"/>
      <c r="H346" s="114"/>
      <c r="I346" s="84"/>
      <c r="J346" s="114"/>
      <c r="K346" s="114">
        <f t="shared" si="127"/>
        <v>0</v>
      </c>
    </row>
    <row r="347" spans="1:11" ht="27" x14ac:dyDescent="0.35">
      <c r="A347" s="172">
        <v>56</v>
      </c>
      <c r="B347" s="142" t="s">
        <v>190</v>
      </c>
      <c r="C347" s="38" t="s">
        <v>166</v>
      </c>
      <c r="D347" s="143">
        <v>1</v>
      </c>
      <c r="E347" s="108"/>
      <c r="F347" s="114">
        <f t="shared" si="128"/>
        <v>0</v>
      </c>
      <c r="G347" s="108"/>
      <c r="H347" s="114">
        <f t="shared" ref="H347:H353" si="129">G347*D347</f>
        <v>0</v>
      </c>
      <c r="I347" s="21"/>
      <c r="J347" s="114">
        <f t="shared" ref="J347:J350" si="130">I347*D347</f>
        <v>0</v>
      </c>
      <c r="K347" s="114">
        <f t="shared" si="127"/>
        <v>0</v>
      </c>
    </row>
    <row r="348" spans="1:11" x14ac:dyDescent="0.35">
      <c r="A348" s="172">
        <v>57</v>
      </c>
      <c r="B348" s="45" t="s">
        <v>256</v>
      </c>
      <c r="C348" s="37" t="s">
        <v>19</v>
      </c>
      <c r="D348" s="38">
        <v>1</v>
      </c>
      <c r="E348" s="116"/>
      <c r="F348" s="116">
        <f t="shared" si="128"/>
        <v>0</v>
      </c>
      <c r="G348" s="116"/>
      <c r="H348" s="40">
        <f t="shared" si="129"/>
        <v>0</v>
      </c>
      <c r="I348" s="116"/>
      <c r="J348" s="41">
        <f t="shared" si="130"/>
        <v>0</v>
      </c>
      <c r="K348" s="40">
        <f t="shared" si="127"/>
        <v>0</v>
      </c>
    </row>
    <row r="349" spans="1:11" ht="27" x14ac:dyDescent="0.35">
      <c r="A349" s="172">
        <v>58</v>
      </c>
      <c r="B349" s="7" t="s">
        <v>86</v>
      </c>
      <c r="C349" s="85" t="s">
        <v>9</v>
      </c>
      <c r="D349" s="84">
        <v>70</v>
      </c>
      <c r="E349" s="84"/>
      <c r="F349" s="114">
        <f t="shared" si="128"/>
        <v>0</v>
      </c>
      <c r="G349" s="84"/>
      <c r="H349" s="114">
        <f t="shared" si="129"/>
        <v>0</v>
      </c>
      <c r="I349" s="114"/>
      <c r="J349" s="114">
        <f t="shared" si="130"/>
        <v>0</v>
      </c>
      <c r="K349" s="114">
        <f t="shared" si="127"/>
        <v>0</v>
      </c>
    </row>
    <row r="350" spans="1:11" ht="27" x14ac:dyDescent="0.35">
      <c r="A350" s="172">
        <v>59</v>
      </c>
      <c r="B350" s="7" t="s">
        <v>24</v>
      </c>
      <c r="C350" s="115" t="s">
        <v>9</v>
      </c>
      <c r="D350" s="114">
        <v>120</v>
      </c>
      <c r="E350" s="114"/>
      <c r="F350" s="114">
        <f t="shared" si="128"/>
        <v>0</v>
      </c>
      <c r="G350" s="114"/>
      <c r="H350" s="114">
        <f t="shared" si="129"/>
        <v>0</v>
      </c>
      <c r="I350" s="114"/>
      <c r="J350" s="114">
        <f t="shared" si="130"/>
        <v>0</v>
      </c>
      <c r="K350" s="114">
        <f t="shared" si="127"/>
        <v>0</v>
      </c>
    </row>
    <row r="351" spans="1:11" x14ac:dyDescent="0.35">
      <c r="A351" s="172">
        <v>60</v>
      </c>
      <c r="B351" s="83" t="s">
        <v>88</v>
      </c>
      <c r="C351" s="115" t="s">
        <v>19</v>
      </c>
      <c r="D351" s="84">
        <v>2</v>
      </c>
      <c r="E351" s="84"/>
      <c r="F351" s="114">
        <f t="shared" si="128"/>
        <v>0</v>
      </c>
      <c r="G351" s="84"/>
      <c r="H351" s="114">
        <f t="shared" si="129"/>
        <v>0</v>
      </c>
      <c r="I351" s="84"/>
      <c r="J351" s="114"/>
      <c r="K351" s="114">
        <f t="shared" si="127"/>
        <v>0</v>
      </c>
    </row>
    <row r="352" spans="1:11" x14ac:dyDescent="0.35">
      <c r="A352" s="172">
        <v>61</v>
      </c>
      <c r="B352" s="86" t="s">
        <v>87</v>
      </c>
      <c r="C352" s="43" t="s">
        <v>19</v>
      </c>
      <c r="D352" s="116">
        <v>12</v>
      </c>
      <c r="E352" s="116"/>
      <c r="F352" s="120">
        <f t="shared" si="128"/>
        <v>0</v>
      </c>
      <c r="G352" s="116"/>
      <c r="H352" s="120">
        <f t="shared" si="129"/>
        <v>0</v>
      </c>
      <c r="I352" s="116"/>
      <c r="J352" s="120">
        <f t="shared" ref="J352:J353" si="131">I352*D352</f>
        <v>0</v>
      </c>
      <c r="K352" s="114">
        <f t="shared" si="127"/>
        <v>0</v>
      </c>
    </row>
    <row r="353" spans="1:11" x14ac:dyDescent="0.35">
      <c r="A353" s="203">
        <v>62</v>
      </c>
      <c r="B353" s="7" t="s">
        <v>25</v>
      </c>
      <c r="C353" s="115" t="s">
        <v>19</v>
      </c>
      <c r="D353" s="114">
        <v>3</v>
      </c>
      <c r="E353" s="114"/>
      <c r="F353" s="120">
        <f t="shared" si="128"/>
        <v>0</v>
      </c>
      <c r="G353" s="114"/>
      <c r="H353" s="120">
        <f t="shared" si="129"/>
        <v>0</v>
      </c>
      <c r="I353" s="114"/>
      <c r="J353" s="120">
        <f t="shared" si="131"/>
        <v>0</v>
      </c>
      <c r="K353" s="114">
        <f t="shared" si="127"/>
        <v>0</v>
      </c>
    </row>
    <row r="354" spans="1:11" x14ac:dyDescent="0.35">
      <c r="A354" s="186"/>
      <c r="B354" s="35" t="s">
        <v>168</v>
      </c>
      <c r="C354" s="119" t="s">
        <v>10</v>
      </c>
      <c r="D354" s="114">
        <v>22</v>
      </c>
      <c r="E354" s="114"/>
      <c r="F354" s="120">
        <f t="shared" si="128"/>
        <v>0</v>
      </c>
      <c r="G354" s="114"/>
      <c r="H354" s="114"/>
      <c r="I354" s="114"/>
      <c r="J354" s="114"/>
      <c r="K354" s="114">
        <f t="shared" si="127"/>
        <v>0</v>
      </c>
    </row>
    <row r="355" spans="1:11" ht="29" x14ac:dyDescent="0.35">
      <c r="A355" s="134"/>
      <c r="B355" s="121" t="s">
        <v>325</v>
      </c>
      <c r="C355" s="135"/>
      <c r="D355" s="136"/>
      <c r="E355" s="136"/>
      <c r="F355" s="136"/>
      <c r="G355" s="136"/>
      <c r="H355" s="136"/>
      <c r="I355" s="136"/>
      <c r="J355" s="136"/>
      <c r="K355" s="137"/>
    </row>
    <row r="356" spans="1:11" x14ac:dyDescent="0.35">
      <c r="A356" s="100"/>
      <c r="B356" s="166" t="s">
        <v>36</v>
      </c>
      <c r="C356" s="119"/>
      <c r="D356" s="114"/>
      <c r="E356" s="114"/>
      <c r="F356" s="114"/>
      <c r="G356" s="114"/>
      <c r="H356" s="114"/>
      <c r="I356" s="114"/>
      <c r="J356" s="114"/>
      <c r="K356" s="116"/>
    </row>
    <row r="357" spans="1:11" x14ac:dyDescent="0.35">
      <c r="A357" s="118">
        <v>63</v>
      </c>
      <c r="B357" s="25" t="s">
        <v>147</v>
      </c>
      <c r="C357" s="37" t="s">
        <v>8</v>
      </c>
      <c r="D357" s="60">
        <f>0.9*2.15</f>
        <v>1.9350000000000001</v>
      </c>
      <c r="E357" s="114"/>
      <c r="F357" s="114"/>
      <c r="G357" s="114"/>
      <c r="H357" s="114">
        <f>G357*D357</f>
        <v>0</v>
      </c>
      <c r="I357" s="114"/>
      <c r="J357" s="114"/>
      <c r="K357" s="40">
        <f t="shared" ref="K357:K434" si="132">J357+H357+F357</f>
        <v>0</v>
      </c>
    </row>
    <row r="358" spans="1:11" x14ac:dyDescent="0.35">
      <c r="A358" s="118">
        <v>64</v>
      </c>
      <c r="B358" s="25" t="s">
        <v>181</v>
      </c>
      <c r="C358" s="37" t="s">
        <v>8</v>
      </c>
      <c r="D358" s="60">
        <v>12.7</v>
      </c>
      <c r="E358" s="114"/>
      <c r="F358" s="114"/>
      <c r="G358" s="114"/>
      <c r="H358" s="114">
        <f>G358*D358</f>
        <v>0</v>
      </c>
      <c r="I358" s="114"/>
      <c r="J358" s="114"/>
      <c r="K358" s="40">
        <f t="shared" si="132"/>
        <v>0</v>
      </c>
    </row>
    <row r="359" spans="1:11" x14ac:dyDescent="0.35">
      <c r="A359" s="118">
        <v>65</v>
      </c>
      <c r="B359" s="25" t="s">
        <v>326</v>
      </c>
      <c r="C359" s="37" t="s">
        <v>8</v>
      </c>
      <c r="D359" s="60">
        <v>5</v>
      </c>
      <c r="E359" s="114"/>
      <c r="F359" s="114"/>
      <c r="G359" s="114"/>
      <c r="H359" s="114">
        <f>G359*D359</f>
        <v>0</v>
      </c>
      <c r="I359" s="114"/>
      <c r="J359" s="114"/>
      <c r="K359" s="40">
        <f t="shared" si="132"/>
        <v>0</v>
      </c>
    </row>
    <row r="360" spans="1:11" x14ac:dyDescent="0.35">
      <c r="A360" s="118">
        <v>66</v>
      </c>
      <c r="B360" s="25" t="s">
        <v>327</v>
      </c>
      <c r="C360" s="37" t="s">
        <v>8</v>
      </c>
      <c r="D360" s="60">
        <v>11</v>
      </c>
      <c r="E360" s="114"/>
      <c r="F360" s="114"/>
      <c r="G360" s="114"/>
      <c r="H360" s="114">
        <f>G360*D360</f>
        <v>0</v>
      </c>
      <c r="I360" s="114"/>
      <c r="J360" s="114"/>
      <c r="K360" s="40">
        <f t="shared" si="132"/>
        <v>0</v>
      </c>
    </row>
    <row r="361" spans="1:11" ht="40.5" x14ac:dyDescent="0.35">
      <c r="A361" s="118">
        <v>67</v>
      </c>
      <c r="B361" s="25" t="s">
        <v>179</v>
      </c>
      <c r="C361" s="37" t="s">
        <v>8</v>
      </c>
      <c r="D361" s="60">
        <v>2</v>
      </c>
      <c r="E361" s="114"/>
      <c r="F361" s="114"/>
      <c r="G361" s="114"/>
      <c r="H361" s="114">
        <f>G361*D361</f>
        <v>0</v>
      </c>
      <c r="I361" s="114"/>
      <c r="J361" s="114"/>
      <c r="K361" s="40">
        <f t="shared" si="132"/>
        <v>0</v>
      </c>
    </row>
    <row r="362" spans="1:11" ht="27" x14ac:dyDescent="0.35">
      <c r="A362" s="118">
        <v>68</v>
      </c>
      <c r="B362" s="32" t="s">
        <v>328</v>
      </c>
      <c r="C362" s="37" t="s">
        <v>8</v>
      </c>
      <c r="D362" s="61">
        <v>2</v>
      </c>
      <c r="E362" s="21"/>
      <c r="F362" s="21"/>
      <c r="G362" s="21"/>
      <c r="H362" s="114">
        <f t="shared" ref="H362:H363" si="133">G362*D362</f>
        <v>0</v>
      </c>
      <c r="I362" s="21"/>
      <c r="J362" s="21"/>
      <c r="K362" s="40">
        <f t="shared" si="132"/>
        <v>0</v>
      </c>
    </row>
    <row r="363" spans="1:11" ht="27" x14ac:dyDescent="0.35">
      <c r="A363" s="118">
        <v>69</v>
      </c>
      <c r="B363" s="32" t="s">
        <v>329</v>
      </c>
      <c r="C363" s="168" t="s">
        <v>260</v>
      </c>
      <c r="D363" s="61">
        <f>2*2*0.4</f>
        <v>1.6</v>
      </c>
      <c r="E363" s="21"/>
      <c r="F363" s="21"/>
      <c r="G363" s="21"/>
      <c r="H363" s="114">
        <f t="shared" si="133"/>
        <v>0</v>
      </c>
      <c r="I363" s="21"/>
      <c r="J363" s="21">
        <f>I363*D363</f>
        <v>0</v>
      </c>
      <c r="K363" s="40">
        <f t="shared" si="132"/>
        <v>0</v>
      </c>
    </row>
    <row r="364" spans="1:11" x14ac:dyDescent="0.35">
      <c r="A364" s="194">
        <v>70</v>
      </c>
      <c r="B364" s="74" t="s">
        <v>133</v>
      </c>
      <c r="C364" s="9" t="s">
        <v>23</v>
      </c>
      <c r="D364" s="75">
        <v>4</v>
      </c>
      <c r="E364" s="120"/>
      <c r="F364" s="120"/>
      <c r="G364" s="120"/>
      <c r="H364" s="114">
        <f>G364*D364</f>
        <v>0</v>
      </c>
      <c r="I364" s="120"/>
      <c r="J364" s="114">
        <f>I364*D364</f>
        <v>0</v>
      </c>
      <c r="K364" s="114">
        <f t="shared" si="132"/>
        <v>0</v>
      </c>
    </row>
    <row r="365" spans="1:11" x14ac:dyDescent="0.35">
      <c r="A365" s="195"/>
      <c r="B365" s="23" t="s">
        <v>214</v>
      </c>
      <c r="C365" s="113" t="s">
        <v>9</v>
      </c>
      <c r="D365" s="120">
        <v>13</v>
      </c>
      <c r="E365" s="120"/>
      <c r="F365" s="120">
        <f>E365*D365</f>
        <v>0</v>
      </c>
      <c r="G365" s="120"/>
      <c r="H365" s="120"/>
      <c r="I365" s="120"/>
      <c r="J365" s="120"/>
      <c r="K365" s="114">
        <f t="shared" si="132"/>
        <v>0</v>
      </c>
    </row>
    <row r="366" spans="1:11" x14ac:dyDescent="0.35">
      <c r="A366" s="195"/>
      <c r="B366" s="23" t="s">
        <v>224</v>
      </c>
      <c r="C366" s="113" t="s">
        <v>9</v>
      </c>
      <c r="D366" s="120">
        <v>8</v>
      </c>
      <c r="E366" s="120"/>
      <c r="F366" s="120">
        <f>E366*D366</f>
        <v>0</v>
      </c>
      <c r="G366" s="120"/>
      <c r="H366" s="120"/>
      <c r="I366" s="120"/>
      <c r="J366" s="120"/>
      <c r="K366" s="114">
        <f t="shared" si="132"/>
        <v>0</v>
      </c>
    </row>
    <row r="367" spans="1:11" x14ac:dyDescent="0.35">
      <c r="A367" s="195"/>
      <c r="B367" s="23" t="s">
        <v>134</v>
      </c>
      <c r="C367" s="113" t="s">
        <v>11</v>
      </c>
      <c r="D367" s="120">
        <v>3</v>
      </c>
      <c r="E367" s="120"/>
      <c r="F367" s="120">
        <f t="shared" ref="F367:F369" si="134">E367*D367</f>
        <v>0</v>
      </c>
      <c r="G367" s="120"/>
      <c r="H367" s="120"/>
      <c r="I367" s="120"/>
      <c r="J367" s="120"/>
      <c r="K367" s="114">
        <f t="shared" si="132"/>
        <v>0</v>
      </c>
    </row>
    <row r="368" spans="1:11" x14ac:dyDescent="0.35">
      <c r="A368" s="195"/>
      <c r="B368" s="23" t="s">
        <v>225</v>
      </c>
      <c r="C368" s="113" t="s">
        <v>19</v>
      </c>
      <c r="D368" s="120">
        <v>3</v>
      </c>
      <c r="E368" s="120"/>
      <c r="F368" s="120">
        <f t="shared" si="134"/>
        <v>0</v>
      </c>
      <c r="G368" s="120"/>
      <c r="H368" s="120"/>
      <c r="I368" s="120"/>
      <c r="J368" s="120"/>
      <c r="K368" s="114">
        <f t="shared" si="132"/>
        <v>0</v>
      </c>
    </row>
    <row r="369" spans="1:11" x14ac:dyDescent="0.35">
      <c r="A369" s="196"/>
      <c r="B369" s="23" t="s">
        <v>82</v>
      </c>
      <c r="C369" s="113" t="s">
        <v>10</v>
      </c>
      <c r="D369" s="120">
        <f>D364*0.8</f>
        <v>3.2</v>
      </c>
      <c r="E369" s="120"/>
      <c r="F369" s="120">
        <f t="shared" si="134"/>
        <v>0</v>
      </c>
      <c r="G369" s="120"/>
      <c r="H369" s="120"/>
      <c r="I369" s="120"/>
      <c r="J369" s="120"/>
      <c r="K369" s="114">
        <f t="shared" si="132"/>
        <v>0</v>
      </c>
    </row>
    <row r="370" spans="1:11" x14ac:dyDescent="0.35">
      <c r="A370" s="182">
        <v>71</v>
      </c>
      <c r="B370" s="32" t="s">
        <v>330</v>
      </c>
      <c r="C370" s="168" t="s">
        <v>260</v>
      </c>
      <c r="D370" s="61">
        <f>1*2*0.4</f>
        <v>0.8</v>
      </c>
      <c r="E370" s="21"/>
      <c r="F370" s="21"/>
      <c r="G370" s="21"/>
      <c r="H370" s="114">
        <f t="shared" ref="H370" si="135">G370*D370</f>
        <v>0</v>
      </c>
      <c r="I370" s="21"/>
      <c r="J370" s="21">
        <f>I370*D370</f>
        <v>0</v>
      </c>
      <c r="K370" s="40">
        <f t="shared" si="132"/>
        <v>0</v>
      </c>
    </row>
    <row r="371" spans="1:11" x14ac:dyDescent="0.35">
      <c r="A371" s="183"/>
      <c r="B371" s="7" t="s">
        <v>287</v>
      </c>
      <c r="C371" s="119" t="s">
        <v>19</v>
      </c>
      <c r="D371" s="21">
        <f>D370*65</f>
        <v>52</v>
      </c>
      <c r="E371" s="21"/>
      <c r="F371" s="21">
        <f>E371*D371</f>
        <v>0</v>
      </c>
      <c r="G371" s="21"/>
      <c r="H371" s="21"/>
      <c r="I371" s="21"/>
      <c r="J371" s="21"/>
      <c r="K371" s="40">
        <f t="shared" si="132"/>
        <v>0</v>
      </c>
    </row>
    <row r="372" spans="1:11" x14ac:dyDescent="0.35">
      <c r="A372" s="183"/>
      <c r="B372" s="7" t="s">
        <v>288</v>
      </c>
      <c r="C372" s="115" t="s">
        <v>230</v>
      </c>
      <c r="D372" s="114">
        <f>D370*0.13</f>
        <v>0.10400000000000001</v>
      </c>
      <c r="E372" s="114"/>
      <c r="F372" s="21">
        <f t="shared" ref="F372:F375" si="136">E372*D372</f>
        <v>0</v>
      </c>
      <c r="G372" s="114"/>
      <c r="H372" s="114"/>
      <c r="I372" s="114"/>
      <c r="J372" s="114"/>
      <c r="K372" s="40">
        <f t="shared" si="132"/>
        <v>0</v>
      </c>
    </row>
    <row r="373" spans="1:11" x14ac:dyDescent="0.35">
      <c r="A373" s="183"/>
      <c r="B373" s="7" t="s">
        <v>289</v>
      </c>
      <c r="C373" s="115" t="s">
        <v>29</v>
      </c>
      <c r="D373" s="114">
        <f>D372*0.31</f>
        <v>3.2240000000000005E-2</v>
      </c>
      <c r="E373" s="114"/>
      <c r="F373" s="21">
        <f t="shared" si="136"/>
        <v>0</v>
      </c>
      <c r="G373" s="114"/>
      <c r="H373" s="114"/>
      <c r="I373" s="114"/>
      <c r="J373" s="114"/>
      <c r="K373" s="40">
        <f t="shared" si="132"/>
        <v>0</v>
      </c>
    </row>
    <row r="374" spans="1:11" x14ac:dyDescent="0.35">
      <c r="A374" s="183"/>
      <c r="B374" s="7" t="s">
        <v>290</v>
      </c>
      <c r="C374" s="115" t="s">
        <v>29</v>
      </c>
      <c r="D374" s="170">
        <f>D370*0.0024</f>
        <v>1.9199999999999998E-3</v>
      </c>
      <c r="E374" s="114"/>
      <c r="F374" s="21">
        <f t="shared" si="136"/>
        <v>0</v>
      </c>
      <c r="G374" s="114"/>
      <c r="H374" s="114"/>
      <c r="I374" s="114"/>
      <c r="J374" s="114"/>
      <c r="K374" s="40">
        <f t="shared" si="132"/>
        <v>0</v>
      </c>
    </row>
    <row r="375" spans="1:11" x14ac:dyDescent="0.35">
      <c r="A375" s="184"/>
      <c r="B375" s="7" t="s">
        <v>26</v>
      </c>
      <c r="C375" s="115" t="s">
        <v>10</v>
      </c>
      <c r="D375" s="114">
        <f>D370*1</f>
        <v>0.8</v>
      </c>
      <c r="E375" s="114"/>
      <c r="F375" s="21">
        <f t="shared" si="136"/>
        <v>0</v>
      </c>
      <c r="G375" s="114"/>
      <c r="H375" s="114"/>
      <c r="I375" s="114"/>
      <c r="J375" s="114"/>
      <c r="K375" s="40">
        <f t="shared" si="132"/>
        <v>0</v>
      </c>
    </row>
    <row r="376" spans="1:11" ht="27" x14ac:dyDescent="0.35">
      <c r="A376" s="118">
        <v>72</v>
      </c>
      <c r="B376" s="25" t="s">
        <v>331</v>
      </c>
      <c r="C376" s="118" t="s">
        <v>23</v>
      </c>
      <c r="D376" s="60">
        <v>4</v>
      </c>
      <c r="E376" s="114"/>
      <c r="F376" s="114">
        <f>E376*D376</f>
        <v>0</v>
      </c>
      <c r="G376" s="114"/>
      <c r="H376" s="114">
        <f t="shared" ref="H376:H382" si="137">G376*D376</f>
        <v>0</v>
      </c>
      <c r="I376" s="114"/>
      <c r="J376" s="114">
        <f>I376*D376</f>
        <v>0</v>
      </c>
      <c r="K376" s="114">
        <f t="shared" si="132"/>
        <v>0</v>
      </c>
    </row>
    <row r="377" spans="1:11" ht="27" x14ac:dyDescent="0.35">
      <c r="A377" s="194">
        <v>73</v>
      </c>
      <c r="B377" s="25" t="s">
        <v>332</v>
      </c>
      <c r="C377" s="118" t="s">
        <v>23</v>
      </c>
      <c r="D377" s="60">
        <f>2*2*2*1.2</f>
        <v>9.6</v>
      </c>
      <c r="E377" s="114"/>
      <c r="F377" s="114"/>
      <c r="G377" s="114"/>
      <c r="H377" s="114">
        <f>G377*D377</f>
        <v>0</v>
      </c>
      <c r="I377" s="114"/>
      <c r="J377" s="114">
        <f>I377*D377</f>
        <v>0</v>
      </c>
      <c r="K377" s="114">
        <f t="shared" si="132"/>
        <v>0</v>
      </c>
    </row>
    <row r="378" spans="1:11" x14ac:dyDescent="0.35">
      <c r="A378" s="195"/>
      <c r="B378" s="125" t="s">
        <v>333</v>
      </c>
      <c r="C378" s="115" t="s">
        <v>11</v>
      </c>
      <c r="D378" s="114">
        <f>D377*0.35</f>
        <v>3.36</v>
      </c>
      <c r="E378" s="114"/>
      <c r="F378" s="114">
        <f>E378*D378</f>
        <v>0</v>
      </c>
      <c r="G378" s="114"/>
      <c r="H378" s="114"/>
      <c r="I378" s="114"/>
      <c r="J378" s="114"/>
      <c r="K378" s="114">
        <f t="shared" si="132"/>
        <v>0</v>
      </c>
    </row>
    <row r="379" spans="1:11" x14ac:dyDescent="0.35">
      <c r="A379" s="195"/>
      <c r="B379" s="125" t="s">
        <v>239</v>
      </c>
      <c r="C379" s="115" t="s">
        <v>11</v>
      </c>
      <c r="D379" s="114">
        <f>D377*0.04</f>
        <v>0.38400000000000001</v>
      </c>
      <c r="E379" s="114"/>
      <c r="F379" s="114">
        <f>E379*D379</f>
        <v>0</v>
      </c>
      <c r="G379" s="114"/>
      <c r="H379" s="114"/>
      <c r="I379" s="114"/>
      <c r="J379" s="114"/>
      <c r="K379" s="114">
        <f t="shared" si="132"/>
        <v>0</v>
      </c>
    </row>
    <row r="380" spans="1:11" x14ac:dyDescent="0.35">
      <c r="A380" s="195"/>
      <c r="B380" s="125" t="s">
        <v>334</v>
      </c>
      <c r="C380" s="115" t="s">
        <v>83</v>
      </c>
      <c r="D380" s="114">
        <f>D377*0.09</f>
        <v>0.86399999999999999</v>
      </c>
      <c r="E380" s="114"/>
      <c r="F380" s="114">
        <f t="shared" ref="F380:F381" si="138">E380*D380</f>
        <v>0</v>
      </c>
      <c r="G380" s="114"/>
      <c r="H380" s="114"/>
      <c r="I380" s="114"/>
      <c r="J380" s="114"/>
      <c r="K380" s="114">
        <f t="shared" si="132"/>
        <v>0</v>
      </c>
    </row>
    <row r="381" spans="1:11" x14ac:dyDescent="0.35">
      <c r="A381" s="196"/>
      <c r="B381" s="7" t="s">
        <v>26</v>
      </c>
      <c r="C381" s="115" t="s">
        <v>10</v>
      </c>
      <c r="D381" s="114">
        <f>D376*0.2</f>
        <v>0.8</v>
      </c>
      <c r="E381" s="114"/>
      <c r="F381" s="21">
        <f t="shared" si="138"/>
        <v>0</v>
      </c>
      <c r="G381" s="114"/>
      <c r="H381" s="114"/>
      <c r="I381" s="114"/>
      <c r="J381" s="114"/>
      <c r="K381" s="40">
        <f t="shared" si="132"/>
        <v>0</v>
      </c>
    </row>
    <row r="382" spans="1:11" x14ac:dyDescent="0.35">
      <c r="A382" s="194">
        <v>74</v>
      </c>
      <c r="B382" s="25" t="s">
        <v>335</v>
      </c>
      <c r="C382" s="118" t="s">
        <v>9</v>
      </c>
      <c r="D382" s="60">
        <v>6.3</v>
      </c>
      <c r="E382" s="114"/>
      <c r="F382" s="114"/>
      <c r="G382" s="114"/>
      <c r="H382" s="114">
        <f t="shared" si="137"/>
        <v>0</v>
      </c>
      <c r="I382" s="114"/>
      <c r="J382" s="114">
        <f>I382*D382</f>
        <v>0</v>
      </c>
      <c r="K382" s="114">
        <f t="shared" si="132"/>
        <v>0</v>
      </c>
    </row>
    <row r="383" spans="1:11" x14ac:dyDescent="0.35">
      <c r="A383" s="195"/>
      <c r="B383" s="125" t="s">
        <v>229</v>
      </c>
      <c r="C383" s="115" t="s">
        <v>230</v>
      </c>
      <c r="D383" s="114">
        <f>D382*0.0063</f>
        <v>3.9689999999999996E-2</v>
      </c>
      <c r="E383" s="114"/>
      <c r="F383" s="114">
        <f>E383*D383</f>
        <v>0</v>
      </c>
      <c r="G383" s="114"/>
      <c r="H383" s="114"/>
      <c r="I383" s="114"/>
      <c r="J383" s="114"/>
      <c r="K383" s="114">
        <f t="shared" si="132"/>
        <v>0</v>
      </c>
    </row>
    <row r="384" spans="1:11" x14ac:dyDescent="0.35">
      <c r="A384" s="195"/>
      <c r="B384" s="125" t="s">
        <v>231</v>
      </c>
      <c r="C384" s="115" t="s">
        <v>29</v>
      </c>
      <c r="D384" s="114">
        <f>D382*0.0018</f>
        <v>1.1339999999999999E-2</v>
      </c>
      <c r="E384" s="114"/>
      <c r="F384" s="114">
        <f t="shared" ref="F384:F385" si="139">E384*D384</f>
        <v>0</v>
      </c>
      <c r="G384" s="114"/>
      <c r="H384" s="114"/>
      <c r="I384" s="114"/>
      <c r="J384" s="114"/>
      <c r="K384" s="114">
        <f t="shared" si="132"/>
        <v>0</v>
      </c>
    </row>
    <row r="385" spans="1:11" x14ac:dyDescent="0.35">
      <c r="A385" s="196"/>
      <c r="B385" s="125" t="s">
        <v>26</v>
      </c>
      <c r="C385" s="115" t="s">
        <v>10</v>
      </c>
      <c r="D385" s="114">
        <f>D382*0.1</f>
        <v>0.63</v>
      </c>
      <c r="E385" s="114"/>
      <c r="F385" s="114">
        <f t="shared" si="139"/>
        <v>0</v>
      </c>
      <c r="G385" s="114"/>
      <c r="H385" s="114"/>
      <c r="I385" s="114"/>
      <c r="J385" s="114"/>
      <c r="K385" s="114">
        <f t="shared" si="132"/>
        <v>0</v>
      </c>
    </row>
    <row r="386" spans="1:11" x14ac:dyDescent="0.35">
      <c r="A386" s="194">
        <v>75</v>
      </c>
      <c r="B386" s="117" t="s">
        <v>293</v>
      </c>
      <c r="C386" s="59" t="s">
        <v>23</v>
      </c>
      <c r="D386" s="60">
        <v>4</v>
      </c>
      <c r="E386" s="114"/>
      <c r="F386" s="114"/>
      <c r="G386" s="114"/>
      <c r="H386" s="114">
        <f>G386*D386</f>
        <v>0</v>
      </c>
      <c r="I386" s="114"/>
      <c r="J386" s="114">
        <f>I386*D386</f>
        <v>0</v>
      </c>
      <c r="K386" s="40">
        <f t="shared" si="132"/>
        <v>0</v>
      </c>
    </row>
    <row r="387" spans="1:11" x14ac:dyDescent="0.35">
      <c r="A387" s="195"/>
      <c r="B387" s="125" t="s">
        <v>294</v>
      </c>
      <c r="C387" s="115" t="s">
        <v>230</v>
      </c>
      <c r="D387" s="114">
        <f>D386*0.036</f>
        <v>0.14399999999999999</v>
      </c>
      <c r="E387" s="114"/>
      <c r="F387" s="114">
        <f>E387*D387</f>
        <v>0</v>
      </c>
      <c r="G387" s="114"/>
      <c r="H387" s="114"/>
      <c r="I387" s="114"/>
      <c r="J387" s="114"/>
      <c r="K387" s="114">
        <f t="shared" si="132"/>
        <v>0</v>
      </c>
    </row>
    <row r="388" spans="1:11" x14ac:dyDescent="0.35">
      <c r="A388" s="195"/>
      <c r="B388" s="125" t="s">
        <v>295</v>
      </c>
      <c r="C388" s="115" t="s">
        <v>29</v>
      </c>
      <c r="D388" s="114">
        <f>D386*0.0118</f>
        <v>4.7199999999999999E-2</v>
      </c>
      <c r="E388" s="114"/>
      <c r="F388" s="114">
        <f t="shared" ref="F388:F389" si="140">E388*D388</f>
        <v>0</v>
      </c>
      <c r="G388" s="114"/>
      <c r="H388" s="114"/>
      <c r="I388" s="114"/>
      <c r="J388" s="114"/>
      <c r="K388" s="114">
        <f t="shared" si="132"/>
        <v>0</v>
      </c>
    </row>
    <row r="389" spans="1:11" x14ac:dyDescent="0.35">
      <c r="A389" s="196"/>
      <c r="B389" s="125" t="s">
        <v>26</v>
      </c>
      <c r="C389" s="115" t="s">
        <v>10</v>
      </c>
      <c r="D389" s="114">
        <f>D386*0.5</f>
        <v>2</v>
      </c>
      <c r="E389" s="114"/>
      <c r="F389" s="114">
        <f t="shared" si="140"/>
        <v>0</v>
      </c>
      <c r="G389" s="114"/>
      <c r="H389" s="114"/>
      <c r="I389" s="114"/>
      <c r="J389" s="114"/>
      <c r="K389" s="114">
        <f t="shared" si="132"/>
        <v>0</v>
      </c>
    </row>
    <row r="390" spans="1:11" x14ac:dyDescent="0.35">
      <c r="A390" s="182">
        <v>76</v>
      </c>
      <c r="B390" s="32" t="s">
        <v>296</v>
      </c>
      <c r="C390" s="59" t="s">
        <v>23</v>
      </c>
      <c r="D390" s="60">
        <v>2</v>
      </c>
      <c r="E390" s="21"/>
      <c r="F390" s="21"/>
      <c r="G390" s="21"/>
      <c r="H390" s="21">
        <f>G390*D390</f>
        <v>0</v>
      </c>
      <c r="I390" s="21"/>
      <c r="J390" s="21">
        <f>I390*D390</f>
        <v>0</v>
      </c>
      <c r="K390" s="114">
        <f t="shared" si="132"/>
        <v>0</v>
      </c>
    </row>
    <row r="391" spans="1:11" x14ac:dyDescent="0.35">
      <c r="A391" s="183"/>
      <c r="B391" s="125" t="s">
        <v>297</v>
      </c>
      <c r="C391" s="115" t="s">
        <v>230</v>
      </c>
      <c r="D391" s="114">
        <f>D390*0.031</f>
        <v>6.2E-2</v>
      </c>
      <c r="E391" s="114"/>
      <c r="F391" s="114">
        <f>E391*D391</f>
        <v>0</v>
      </c>
      <c r="G391" s="114"/>
      <c r="H391" s="114"/>
      <c r="I391" s="114"/>
      <c r="J391" s="114"/>
      <c r="K391" s="114">
        <f t="shared" si="132"/>
        <v>0</v>
      </c>
    </row>
    <row r="392" spans="1:11" x14ac:dyDescent="0.35">
      <c r="A392" s="183"/>
      <c r="B392" s="125" t="s">
        <v>298</v>
      </c>
      <c r="C392" s="115" t="s">
        <v>29</v>
      </c>
      <c r="D392" s="114">
        <f>D390*0.0113</f>
        <v>2.2599999999999999E-2</v>
      </c>
      <c r="E392" s="114"/>
      <c r="F392" s="114">
        <f t="shared" ref="F392" si="141">E392*D392</f>
        <v>0</v>
      </c>
      <c r="G392" s="114"/>
      <c r="H392" s="114"/>
      <c r="I392" s="114"/>
      <c r="J392" s="114"/>
      <c r="K392" s="114">
        <f t="shared" si="132"/>
        <v>0</v>
      </c>
    </row>
    <row r="393" spans="1:11" x14ac:dyDescent="0.35">
      <c r="A393" s="183"/>
      <c r="B393" s="7" t="s">
        <v>299</v>
      </c>
      <c r="C393" s="119" t="s">
        <v>11</v>
      </c>
      <c r="D393" s="21"/>
      <c r="E393" s="21"/>
      <c r="F393" s="21"/>
      <c r="G393" s="21"/>
      <c r="H393" s="21"/>
      <c r="I393" s="21"/>
      <c r="J393" s="21"/>
      <c r="K393" s="114">
        <f t="shared" si="132"/>
        <v>0</v>
      </c>
    </row>
    <row r="394" spans="1:11" x14ac:dyDescent="0.35">
      <c r="A394" s="184"/>
      <c r="B394" s="125" t="s">
        <v>26</v>
      </c>
      <c r="C394" s="115" t="s">
        <v>10</v>
      </c>
      <c r="D394" s="114">
        <f>D391*0.5</f>
        <v>3.1E-2</v>
      </c>
      <c r="E394" s="114"/>
      <c r="F394" s="114">
        <f t="shared" ref="F394" si="142">E394*D394</f>
        <v>0</v>
      </c>
      <c r="G394" s="114"/>
      <c r="H394" s="114"/>
      <c r="I394" s="114"/>
      <c r="J394" s="114"/>
      <c r="K394" s="114">
        <f t="shared" si="132"/>
        <v>0</v>
      </c>
    </row>
    <row r="395" spans="1:11" ht="27" x14ac:dyDescent="0.35">
      <c r="A395" s="182">
        <v>77</v>
      </c>
      <c r="B395" s="25" t="s">
        <v>300</v>
      </c>
      <c r="C395" s="59" t="s">
        <v>23</v>
      </c>
      <c r="D395" s="60">
        <v>5.4</v>
      </c>
      <c r="E395" s="114"/>
      <c r="F395" s="114"/>
      <c r="G395" s="114"/>
      <c r="H395" s="114">
        <f>G395*D395</f>
        <v>0</v>
      </c>
      <c r="I395" s="114"/>
      <c r="J395" s="114"/>
      <c r="K395" s="114">
        <f t="shared" si="132"/>
        <v>0</v>
      </c>
    </row>
    <row r="396" spans="1:11" x14ac:dyDescent="0.35">
      <c r="A396" s="183"/>
      <c r="B396" s="125" t="s">
        <v>301</v>
      </c>
      <c r="C396" s="115" t="s">
        <v>11</v>
      </c>
      <c r="D396" s="114">
        <f>D395*0.59</f>
        <v>3.1859999999999999</v>
      </c>
      <c r="E396" s="114"/>
      <c r="F396" s="114">
        <f>E396*D396</f>
        <v>0</v>
      </c>
      <c r="G396" s="114"/>
      <c r="H396" s="114"/>
      <c r="I396" s="114"/>
      <c r="J396" s="114"/>
      <c r="K396" s="114">
        <f t="shared" si="132"/>
        <v>0</v>
      </c>
    </row>
    <row r="397" spans="1:11" x14ac:dyDescent="0.35">
      <c r="A397" s="183"/>
      <c r="B397" s="125" t="s">
        <v>302</v>
      </c>
      <c r="C397" s="115" t="s">
        <v>11</v>
      </c>
      <c r="D397" s="114">
        <f>D395*0.1</f>
        <v>0.54</v>
      </c>
      <c r="E397" s="114"/>
      <c r="F397" s="114">
        <f t="shared" ref="F397:F399" si="143">E397*D397</f>
        <v>0</v>
      </c>
      <c r="G397" s="114"/>
      <c r="H397" s="114"/>
      <c r="I397" s="114"/>
      <c r="J397" s="114"/>
      <c r="K397" s="114">
        <f t="shared" si="132"/>
        <v>0</v>
      </c>
    </row>
    <row r="398" spans="1:11" x14ac:dyDescent="0.35">
      <c r="A398" s="183"/>
      <c r="B398" s="125" t="s">
        <v>303</v>
      </c>
      <c r="C398" s="115" t="s">
        <v>11</v>
      </c>
      <c r="D398" s="114">
        <f>D395*0.15</f>
        <v>0.81</v>
      </c>
      <c r="E398" s="114"/>
      <c r="F398" s="114">
        <f t="shared" si="143"/>
        <v>0</v>
      </c>
      <c r="G398" s="114"/>
      <c r="H398" s="114"/>
      <c r="I398" s="114"/>
      <c r="J398" s="114"/>
      <c r="K398" s="114">
        <f t="shared" si="132"/>
        <v>0</v>
      </c>
    </row>
    <row r="399" spans="1:11" x14ac:dyDescent="0.35">
      <c r="A399" s="184"/>
      <c r="B399" s="125" t="s">
        <v>26</v>
      </c>
      <c r="C399" s="115" t="s">
        <v>10</v>
      </c>
      <c r="D399" s="114">
        <f>D396*0.5</f>
        <v>1.593</v>
      </c>
      <c r="E399" s="114"/>
      <c r="F399" s="114">
        <f t="shared" si="143"/>
        <v>0</v>
      </c>
      <c r="G399" s="114"/>
      <c r="H399" s="114"/>
      <c r="I399" s="114"/>
      <c r="J399" s="114"/>
      <c r="K399" s="114">
        <f t="shared" si="132"/>
        <v>0</v>
      </c>
    </row>
    <row r="400" spans="1:11" x14ac:dyDescent="0.35">
      <c r="A400" s="100">
        <v>78</v>
      </c>
      <c r="B400" s="25" t="s">
        <v>336</v>
      </c>
      <c r="C400" s="37" t="s">
        <v>8</v>
      </c>
      <c r="D400" s="60">
        <f>(0.9*2.15)</f>
        <v>1.9350000000000001</v>
      </c>
      <c r="E400" s="114"/>
      <c r="F400" s="114">
        <f>E400*D400</f>
        <v>0</v>
      </c>
      <c r="G400" s="114"/>
      <c r="H400" s="114">
        <f>G400*D400</f>
        <v>0</v>
      </c>
      <c r="I400" s="114"/>
      <c r="J400" s="114">
        <f>I400*D400</f>
        <v>0</v>
      </c>
      <c r="K400" s="40">
        <f t="shared" si="132"/>
        <v>0</v>
      </c>
    </row>
    <row r="401" spans="1:11" x14ac:dyDescent="0.35">
      <c r="A401" s="182">
        <v>79</v>
      </c>
      <c r="B401" s="74" t="s">
        <v>306</v>
      </c>
      <c r="C401" s="37" t="s">
        <v>8</v>
      </c>
      <c r="D401" s="60">
        <v>3.4</v>
      </c>
      <c r="E401" s="114"/>
      <c r="F401" s="114"/>
      <c r="G401" s="114"/>
      <c r="H401" s="114">
        <f>G401*D401</f>
        <v>0</v>
      </c>
      <c r="I401" s="114"/>
      <c r="J401" s="114">
        <f>I401*D401</f>
        <v>0</v>
      </c>
      <c r="K401" s="40">
        <f t="shared" si="132"/>
        <v>0</v>
      </c>
    </row>
    <row r="402" spans="1:11" x14ac:dyDescent="0.35">
      <c r="A402" s="183"/>
      <c r="B402" s="34" t="s">
        <v>143</v>
      </c>
      <c r="C402" s="43" t="s">
        <v>8</v>
      </c>
      <c r="D402" s="114">
        <f>D401*2.1</f>
        <v>7.14</v>
      </c>
      <c r="E402" s="114"/>
      <c r="F402" s="114">
        <f>E402*D402</f>
        <v>0</v>
      </c>
      <c r="G402" s="114"/>
      <c r="H402" s="114"/>
      <c r="I402" s="114"/>
      <c r="J402" s="114"/>
      <c r="K402" s="40">
        <f t="shared" si="132"/>
        <v>0</v>
      </c>
    </row>
    <row r="403" spans="1:11" ht="27" x14ac:dyDescent="0.35">
      <c r="A403" s="183"/>
      <c r="B403" s="7" t="s">
        <v>27</v>
      </c>
      <c r="C403" s="119" t="s">
        <v>8</v>
      </c>
      <c r="D403" s="114">
        <f>D401</f>
        <v>3.4</v>
      </c>
      <c r="E403" s="114"/>
      <c r="F403" s="114">
        <f t="shared" ref="F403:F405" si="144">E403*D403</f>
        <v>0</v>
      </c>
      <c r="G403" s="114"/>
      <c r="H403" s="114"/>
      <c r="I403" s="114"/>
      <c r="J403" s="114"/>
      <c r="K403" s="40">
        <f t="shared" si="132"/>
        <v>0</v>
      </c>
    </row>
    <row r="404" spans="1:11" x14ac:dyDescent="0.35">
      <c r="A404" s="183"/>
      <c r="B404" s="35" t="s">
        <v>64</v>
      </c>
      <c r="C404" s="119" t="s">
        <v>8</v>
      </c>
      <c r="D404" s="114">
        <f>D403</f>
        <v>3.4</v>
      </c>
      <c r="E404" s="114"/>
      <c r="F404" s="114">
        <f t="shared" si="144"/>
        <v>0</v>
      </c>
      <c r="G404" s="114"/>
      <c r="H404" s="114"/>
      <c r="I404" s="114"/>
      <c r="J404" s="114"/>
      <c r="K404" s="40">
        <f t="shared" si="132"/>
        <v>0</v>
      </c>
    </row>
    <row r="405" spans="1:11" x14ac:dyDescent="0.35">
      <c r="A405" s="184"/>
      <c r="B405" s="35" t="s">
        <v>26</v>
      </c>
      <c r="C405" s="119" t="s">
        <v>10</v>
      </c>
      <c r="D405" s="114">
        <f>D401*0.1</f>
        <v>0.34</v>
      </c>
      <c r="E405" s="114"/>
      <c r="F405" s="114">
        <f t="shared" si="144"/>
        <v>0</v>
      </c>
      <c r="G405" s="114"/>
      <c r="H405" s="114"/>
      <c r="I405" s="114"/>
      <c r="J405" s="114"/>
      <c r="K405" s="40">
        <f t="shared" si="132"/>
        <v>0</v>
      </c>
    </row>
    <row r="406" spans="1:11" x14ac:dyDescent="0.35">
      <c r="A406" s="182">
        <v>80</v>
      </c>
      <c r="B406" s="25" t="s">
        <v>310</v>
      </c>
      <c r="C406" s="37" t="s">
        <v>8</v>
      </c>
      <c r="D406" s="60">
        <v>2</v>
      </c>
      <c r="E406" s="114"/>
      <c r="F406" s="114"/>
      <c r="G406" s="114"/>
      <c r="H406" s="114">
        <f>G406*D406</f>
        <v>0</v>
      </c>
      <c r="I406" s="114"/>
      <c r="J406" s="114">
        <f>I406*D406</f>
        <v>0</v>
      </c>
      <c r="K406" s="40">
        <f t="shared" si="132"/>
        <v>0</v>
      </c>
    </row>
    <row r="407" spans="1:11" x14ac:dyDescent="0.35">
      <c r="A407" s="183"/>
      <c r="B407" s="34" t="s">
        <v>143</v>
      </c>
      <c r="C407" s="43" t="s">
        <v>8</v>
      </c>
      <c r="D407" s="114">
        <f>D406*1.05</f>
        <v>2.1</v>
      </c>
      <c r="E407" s="114"/>
      <c r="F407" s="114">
        <f>E407*D407</f>
        <v>0</v>
      </c>
      <c r="G407" s="114"/>
      <c r="H407" s="114"/>
      <c r="I407" s="114"/>
      <c r="J407" s="114"/>
      <c r="K407" s="40">
        <f t="shared" si="132"/>
        <v>0</v>
      </c>
    </row>
    <row r="408" spans="1:11" ht="27" x14ac:dyDescent="0.35">
      <c r="A408" s="183"/>
      <c r="B408" s="7" t="s">
        <v>27</v>
      </c>
      <c r="C408" s="119" t="s">
        <v>8</v>
      </c>
      <c r="D408" s="114">
        <f>D406</f>
        <v>2</v>
      </c>
      <c r="E408" s="114"/>
      <c r="F408" s="114">
        <f t="shared" ref="F408:F409" si="145">E408*D408</f>
        <v>0</v>
      </c>
      <c r="G408" s="114"/>
      <c r="H408" s="114"/>
      <c r="I408" s="114"/>
      <c r="J408" s="114"/>
      <c r="K408" s="40">
        <f t="shared" si="132"/>
        <v>0</v>
      </c>
    </row>
    <row r="409" spans="1:11" x14ac:dyDescent="0.35">
      <c r="A409" s="184"/>
      <c r="B409" s="35" t="s">
        <v>26</v>
      </c>
      <c r="C409" s="119" t="s">
        <v>10</v>
      </c>
      <c r="D409" s="114">
        <f>D406*0.1</f>
        <v>0.2</v>
      </c>
      <c r="E409" s="114"/>
      <c r="F409" s="114">
        <f t="shared" si="145"/>
        <v>0</v>
      </c>
      <c r="G409" s="114"/>
      <c r="H409" s="114"/>
      <c r="I409" s="114"/>
      <c r="J409" s="114"/>
      <c r="K409" s="40">
        <f t="shared" si="132"/>
        <v>0</v>
      </c>
    </row>
    <row r="410" spans="1:11" ht="27" x14ac:dyDescent="0.35">
      <c r="A410" s="182">
        <v>81</v>
      </c>
      <c r="B410" s="25" t="s">
        <v>309</v>
      </c>
      <c r="C410" s="37" t="s">
        <v>8</v>
      </c>
      <c r="D410" s="60">
        <f>0.9*2.15</f>
        <v>1.9350000000000001</v>
      </c>
      <c r="E410" s="114"/>
      <c r="F410" s="114"/>
      <c r="G410" s="114"/>
      <c r="H410" s="114">
        <f>G410*D410</f>
        <v>0</v>
      </c>
      <c r="I410" s="114"/>
      <c r="J410" s="114">
        <f>I410*D410</f>
        <v>0</v>
      </c>
      <c r="K410" s="40">
        <f t="shared" si="132"/>
        <v>0</v>
      </c>
    </row>
    <row r="411" spans="1:11" x14ac:dyDescent="0.35">
      <c r="A411" s="183"/>
      <c r="B411" s="34" t="s">
        <v>143</v>
      </c>
      <c r="C411" s="43" t="s">
        <v>8</v>
      </c>
      <c r="D411" s="114">
        <f>D410*2.1</f>
        <v>4.0635000000000003</v>
      </c>
      <c r="E411" s="114"/>
      <c r="F411" s="114">
        <f>E411*D411</f>
        <v>0</v>
      </c>
      <c r="G411" s="114"/>
      <c r="H411" s="114"/>
      <c r="I411" s="114"/>
      <c r="J411" s="114"/>
      <c r="K411" s="40">
        <f t="shared" si="132"/>
        <v>0</v>
      </c>
    </row>
    <row r="412" spans="1:11" ht="27" x14ac:dyDescent="0.35">
      <c r="A412" s="183"/>
      <c r="B412" s="7" t="s">
        <v>27</v>
      </c>
      <c r="C412" s="119" t="s">
        <v>8</v>
      </c>
      <c r="D412" s="114">
        <f>D410</f>
        <v>1.9350000000000001</v>
      </c>
      <c r="E412" s="114"/>
      <c r="F412" s="114">
        <f t="shared" ref="F412:F414" si="146">E412*D412</f>
        <v>0</v>
      </c>
      <c r="G412" s="114"/>
      <c r="H412" s="114"/>
      <c r="I412" s="114"/>
      <c r="J412" s="114"/>
      <c r="K412" s="40">
        <f t="shared" si="132"/>
        <v>0</v>
      </c>
    </row>
    <row r="413" spans="1:11" x14ac:dyDescent="0.35">
      <c r="A413" s="183"/>
      <c r="B413" s="35" t="s">
        <v>64</v>
      </c>
      <c r="C413" s="119" t="s">
        <v>8</v>
      </c>
      <c r="D413" s="114">
        <f>D412</f>
        <v>1.9350000000000001</v>
      </c>
      <c r="E413" s="114"/>
      <c r="F413" s="114">
        <f t="shared" si="146"/>
        <v>0</v>
      </c>
      <c r="G413" s="114"/>
      <c r="H413" s="114"/>
      <c r="I413" s="114"/>
      <c r="J413" s="114"/>
      <c r="K413" s="40">
        <f t="shared" si="132"/>
        <v>0</v>
      </c>
    </row>
    <row r="414" spans="1:11" x14ac:dyDescent="0.35">
      <c r="A414" s="184"/>
      <c r="B414" s="35" t="s">
        <v>26</v>
      </c>
      <c r="C414" s="119" t="s">
        <v>10</v>
      </c>
      <c r="D414" s="114">
        <f>D410*0.1</f>
        <v>0.19350000000000001</v>
      </c>
      <c r="E414" s="114"/>
      <c r="F414" s="114">
        <f t="shared" si="146"/>
        <v>0</v>
      </c>
      <c r="G414" s="114"/>
      <c r="H414" s="114"/>
      <c r="I414" s="114"/>
      <c r="J414" s="114"/>
      <c r="K414" s="40">
        <f t="shared" si="132"/>
        <v>0</v>
      </c>
    </row>
    <row r="415" spans="1:11" x14ac:dyDescent="0.35">
      <c r="A415" s="182">
        <v>82</v>
      </c>
      <c r="B415" s="32" t="s">
        <v>337</v>
      </c>
      <c r="C415" s="59" t="s">
        <v>8</v>
      </c>
      <c r="D415" s="61">
        <v>3.2</v>
      </c>
      <c r="E415" s="21"/>
      <c r="F415" s="21"/>
      <c r="G415" s="21"/>
      <c r="H415" s="21">
        <f t="shared" ref="H415" si="147">G415*D415</f>
        <v>0</v>
      </c>
      <c r="I415" s="21"/>
      <c r="J415" s="21">
        <f t="shared" ref="J415" si="148">I415*D415</f>
        <v>0</v>
      </c>
      <c r="K415" s="21">
        <f t="shared" si="132"/>
        <v>0</v>
      </c>
    </row>
    <row r="416" spans="1:11" x14ac:dyDescent="0.35">
      <c r="A416" s="183"/>
      <c r="B416" s="22" t="s">
        <v>254</v>
      </c>
      <c r="C416" s="119" t="s">
        <v>8</v>
      </c>
      <c r="D416" s="21">
        <f>D415*1.05</f>
        <v>3.3600000000000003</v>
      </c>
      <c r="E416" s="21"/>
      <c r="F416" s="21">
        <f t="shared" ref="F416:F420" si="149">E416*D416</f>
        <v>0</v>
      </c>
      <c r="G416" s="21"/>
      <c r="H416" s="21"/>
      <c r="I416" s="21"/>
      <c r="J416" s="21"/>
      <c r="K416" s="21">
        <f t="shared" si="132"/>
        <v>0</v>
      </c>
    </row>
    <row r="417" spans="1:11" x14ac:dyDescent="0.35">
      <c r="A417" s="183"/>
      <c r="B417" s="22" t="s">
        <v>156</v>
      </c>
      <c r="C417" s="119" t="s">
        <v>11</v>
      </c>
      <c r="D417" s="21">
        <f>D415*6</f>
        <v>19.200000000000003</v>
      </c>
      <c r="E417" s="21"/>
      <c r="F417" s="21">
        <f t="shared" si="149"/>
        <v>0</v>
      </c>
      <c r="G417" s="21"/>
      <c r="H417" s="21"/>
      <c r="I417" s="21"/>
      <c r="J417" s="21"/>
      <c r="K417" s="21">
        <f t="shared" si="132"/>
        <v>0</v>
      </c>
    </row>
    <row r="418" spans="1:11" x14ac:dyDescent="0.35">
      <c r="A418" s="183"/>
      <c r="B418" s="22" t="s">
        <v>157</v>
      </c>
      <c r="C418" s="119" t="s">
        <v>11</v>
      </c>
      <c r="D418" s="21">
        <f>D415*0.04</f>
        <v>0.128</v>
      </c>
      <c r="E418" s="21"/>
      <c r="F418" s="21">
        <f t="shared" si="149"/>
        <v>0</v>
      </c>
      <c r="G418" s="21"/>
      <c r="H418" s="21"/>
      <c r="I418" s="21"/>
      <c r="J418" s="21"/>
      <c r="K418" s="21">
        <f t="shared" si="132"/>
        <v>0</v>
      </c>
    </row>
    <row r="419" spans="1:11" x14ac:dyDescent="0.35">
      <c r="A419" s="183"/>
      <c r="B419" s="22" t="s">
        <v>158</v>
      </c>
      <c r="C419" s="119" t="s">
        <v>38</v>
      </c>
      <c r="D419" s="21">
        <f>D415*0.1</f>
        <v>0.32000000000000006</v>
      </c>
      <c r="E419" s="21"/>
      <c r="F419" s="21">
        <f t="shared" si="149"/>
        <v>0</v>
      </c>
      <c r="G419" s="21"/>
      <c r="H419" s="21"/>
      <c r="I419" s="21"/>
      <c r="J419" s="21"/>
      <c r="K419" s="21">
        <f t="shared" si="132"/>
        <v>0</v>
      </c>
    </row>
    <row r="420" spans="1:11" x14ac:dyDescent="0.35">
      <c r="A420" s="184"/>
      <c r="B420" s="22" t="s">
        <v>26</v>
      </c>
      <c r="C420" s="119" t="s">
        <v>10</v>
      </c>
      <c r="D420" s="21">
        <f>D415*0.05</f>
        <v>0.16000000000000003</v>
      </c>
      <c r="E420" s="21"/>
      <c r="F420" s="21">
        <f t="shared" si="149"/>
        <v>0</v>
      </c>
      <c r="G420" s="21"/>
      <c r="H420" s="21"/>
      <c r="I420" s="21"/>
      <c r="J420" s="21"/>
      <c r="K420" s="21">
        <f t="shared" si="132"/>
        <v>0</v>
      </c>
    </row>
    <row r="421" spans="1:11" x14ac:dyDescent="0.35">
      <c r="A421" s="182">
        <v>83</v>
      </c>
      <c r="B421" s="105" t="s">
        <v>338</v>
      </c>
      <c r="C421" s="59" t="s">
        <v>8</v>
      </c>
      <c r="D421" s="61">
        <v>11</v>
      </c>
      <c r="E421" s="21"/>
      <c r="F421" s="21"/>
      <c r="G421" s="21"/>
      <c r="H421" s="21">
        <f t="shared" ref="H421" si="150">G421*D421</f>
        <v>0</v>
      </c>
      <c r="I421" s="21"/>
      <c r="J421" s="21">
        <f t="shared" ref="J421" si="151">I421*D421</f>
        <v>0</v>
      </c>
      <c r="K421" s="21">
        <f t="shared" si="132"/>
        <v>0</v>
      </c>
    </row>
    <row r="422" spans="1:11" x14ac:dyDescent="0.35">
      <c r="A422" s="183"/>
      <c r="B422" s="69" t="s">
        <v>172</v>
      </c>
      <c r="C422" s="119" t="s">
        <v>8</v>
      </c>
      <c r="D422" s="21">
        <f>D421*1.03</f>
        <v>11.33</v>
      </c>
      <c r="E422" s="21"/>
      <c r="F422" s="21">
        <f t="shared" ref="F422:F425" si="152">E422*D422</f>
        <v>0</v>
      </c>
      <c r="G422" s="21"/>
      <c r="H422" s="21"/>
      <c r="I422" s="21"/>
      <c r="J422" s="21"/>
      <c r="K422" s="21">
        <f t="shared" si="132"/>
        <v>0</v>
      </c>
    </row>
    <row r="423" spans="1:11" x14ac:dyDescent="0.35">
      <c r="A423" s="183"/>
      <c r="B423" s="83" t="s">
        <v>154</v>
      </c>
      <c r="C423" s="119" t="s">
        <v>8</v>
      </c>
      <c r="D423" s="21">
        <v>48</v>
      </c>
      <c r="E423" s="21"/>
      <c r="F423" s="21">
        <f t="shared" si="152"/>
        <v>0</v>
      </c>
      <c r="G423" s="21"/>
      <c r="H423" s="21"/>
      <c r="I423" s="21"/>
      <c r="J423" s="21"/>
      <c r="K423" s="21">
        <f t="shared" si="132"/>
        <v>0</v>
      </c>
    </row>
    <row r="424" spans="1:11" x14ac:dyDescent="0.35">
      <c r="A424" s="184"/>
      <c r="B424" s="70" t="s">
        <v>26</v>
      </c>
      <c r="C424" s="119" t="s">
        <v>10</v>
      </c>
      <c r="D424" s="21">
        <f>D421*0.1</f>
        <v>1.1000000000000001</v>
      </c>
      <c r="E424" s="21"/>
      <c r="F424" s="21">
        <f t="shared" si="152"/>
        <v>0</v>
      </c>
      <c r="G424" s="21"/>
      <c r="H424" s="21"/>
      <c r="I424" s="21"/>
      <c r="J424" s="21"/>
      <c r="K424" s="21">
        <f t="shared" si="132"/>
        <v>0</v>
      </c>
    </row>
    <row r="425" spans="1:11" x14ac:dyDescent="0.35">
      <c r="A425" s="163">
        <v>84</v>
      </c>
      <c r="B425" s="25" t="s">
        <v>266</v>
      </c>
      <c r="C425" s="37" t="s">
        <v>8</v>
      </c>
      <c r="D425" s="60">
        <v>5</v>
      </c>
      <c r="E425" s="114"/>
      <c r="F425" s="114">
        <f t="shared" si="152"/>
        <v>0</v>
      </c>
      <c r="G425" s="114"/>
      <c r="H425" s="114">
        <f>G425*D425</f>
        <v>0</v>
      </c>
      <c r="I425" s="114"/>
      <c r="J425" s="114"/>
      <c r="K425" s="40">
        <f t="shared" si="132"/>
        <v>0</v>
      </c>
    </row>
    <row r="426" spans="1:11" ht="40.5" x14ac:dyDescent="0.35">
      <c r="A426" s="194">
        <v>85</v>
      </c>
      <c r="B426" s="25" t="s">
        <v>339</v>
      </c>
      <c r="C426" s="37" t="s">
        <v>9</v>
      </c>
      <c r="D426" s="60">
        <v>12</v>
      </c>
      <c r="E426" s="114"/>
      <c r="F426" s="114"/>
      <c r="G426" s="116"/>
      <c r="H426" s="114">
        <f t="shared" ref="H426" si="153">G426*D426</f>
        <v>0</v>
      </c>
      <c r="I426" s="116"/>
      <c r="J426" s="114">
        <f t="shared" ref="J426" si="154">I426*D426</f>
        <v>0</v>
      </c>
      <c r="K426" s="114">
        <f t="shared" si="132"/>
        <v>0</v>
      </c>
    </row>
    <row r="427" spans="1:11" x14ac:dyDescent="0.35">
      <c r="A427" s="195"/>
      <c r="B427" s="44" t="s">
        <v>105</v>
      </c>
      <c r="C427" s="43" t="s">
        <v>83</v>
      </c>
      <c r="D427" s="48">
        <f>D426*0.2*1.1</f>
        <v>2.6400000000000006</v>
      </c>
      <c r="E427" s="48"/>
      <c r="F427" s="48">
        <f>E427*D427</f>
        <v>0</v>
      </c>
      <c r="G427" s="48"/>
      <c r="H427" s="48"/>
      <c r="I427" s="48"/>
      <c r="J427" s="50"/>
      <c r="K427" s="116">
        <f t="shared" si="132"/>
        <v>0</v>
      </c>
    </row>
    <row r="428" spans="1:11" x14ac:dyDescent="0.35">
      <c r="A428" s="196"/>
      <c r="B428" s="44" t="s">
        <v>26</v>
      </c>
      <c r="C428" s="43" t="s">
        <v>10</v>
      </c>
      <c r="D428" s="48">
        <f>D426*0.08</f>
        <v>0.96</v>
      </c>
      <c r="E428" s="48"/>
      <c r="F428" s="48">
        <f>E428*D428</f>
        <v>0</v>
      </c>
      <c r="G428" s="48"/>
      <c r="H428" s="48"/>
      <c r="I428" s="48"/>
      <c r="J428" s="50"/>
      <c r="K428" s="116">
        <f t="shared" si="132"/>
        <v>0</v>
      </c>
    </row>
    <row r="429" spans="1:11" ht="27" x14ac:dyDescent="0.35">
      <c r="A429" s="194">
        <v>86</v>
      </c>
      <c r="B429" s="25" t="s">
        <v>264</v>
      </c>
      <c r="C429" s="37" t="s">
        <v>9</v>
      </c>
      <c r="D429" s="60">
        <v>10</v>
      </c>
      <c r="E429" s="114"/>
      <c r="F429" s="114"/>
      <c r="G429" s="48"/>
      <c r="H429" s="48">
        <f>G429*D429</f>
        <v>0</v>
      </c>
      <c r="I429" s="48"/>
      <c r="J429" s="50">
        <f>I429*D429</f>
        <v>0</v>
      </c>
      <c r="K429" s="116">
        <f t="shared" si="132"/>
        <v>0</v>
      </c>
    </row>
    <row r="430" spans="1:11" x14ac:dyDescent="0.35">
      <c r="A430" s="195"/>
      <c r="B430" s="44" t="s">
        <v>265</v>
      </c>
      <c r="C430" s="43" t="s">
        <v>9</v>
      </c>
      <c r="D430" s="48">
        <f>1.05*D429</f>
        <v>10.5</v>
      </c>
      <c r="E430" s="48"/>
      <c r="F430" s="48">
        <f>E430*D430</f>
        <v>0</v>
      </c>
      <c r="G430" s="48"/>
      <c r="H430" s="48"/>
      <c r="I430" s="48"/>
      <c r="J430" s="50"/>
      <c r="K430" s="116">
        <f t="shared" si="132"/>
        <v>0</v>
      </c>
    </row>
    <row r="431" spans="1:11" x14ac:dyDescent="0.35">
      <c r="A431" s="196"/>
      <c r="B431" s="44" t="s">
        <v>26</v>
      </c>
      <c r="C431" s="43" t="s">
        <v>10</v>
      </c>
      <c r="D431" s="48">
        <f>D429*0.08</f>
        <v>0.8</v>
      </c>
      <c r="E431" s="48"/>
      <c r="F431" s="48">
        <f>E431*D431</f>
        <v>0</v>
      </c>
      <c r="G431" s="48"/>
      <c r="H431" s="48"/>
      <c r="I431" s="48"/>
      <c r="J431" s="50"/>
      <c r="K431" s="116">
        <f t="shared" si="132"/>
        <v>0</v>
      </c>
    </row>
    <row r="432" spans="1:11" ht="40.5" x14ac:dyDescent="0.35">
      <c r="A432" s="194">
        <v>87</v>
      </c>
      <c r="B432" s="117" t="s">
        <v>340</v>
      </c>
      <c r="C432" s="37" t="s">
        <v>8</v>
      </c>
      <c r="D432" s="60">
        <v>156</v>
      </c>
      <c r="E432" s="114"/>
      <c r="F432" s="114"/>
      <c r="G432" s="21"/>
      <c r="H432" s="114">
        <f t="shared" ref="H432" si="155">G432*D432</f>
        <v>0</v>
      </c>
      <c r="I432" s="21"/>
      <c r="J432" s="114">
        <f t="shared" ref="J432" si="156">I432*D432</f>
        <v>0</v>
      </c>
      <c r="K432" s="114">
        <f t="shared" si="132"/>
        <v>0</v>
      </c>
    </row>
    <row r="433" spans="1:11" x14ac:dyDescent="0.35">
      <c r="A433" s="195"/>
      <c r="B433" s="28" t="s">
        <v>45</v>
      </c>
      <c r="C433" s="17" t="s">
        <v>11</v>
      </c>
      <c r="D433" s="114">
        <f>0.45*D432</f>
        <v>70.2</v>
      </c>
      <c r="E433" s="114"/>
      <c r="F433" s="114">
        <f t="shared" ref="F433:F440" si="157">E433*D433</f>
        <v>0</v>
      </c>
      <c r="G433" s="114"/>
      <c r="H433" s="114"/>
      <c r="I433" s="114"/>
      <c r="J433" s="114"/>
      <c r="K433" s="114">
        <f t="shared" si="132"/>
        <v>0</v>
      </c>
    </row>
    <row r="434" spans="1:11" x14ac:dyDescent="0.35">
      <c r="A434" s="195"/>
      <c r="B434" s="28" t="s">
        <v>41</v>
      </c>
      <c r="C434" s="17" t="s">
        <v>8</v>
      </c>
      <c r="D434" s="30">
        <f>0.009*D432</f>
        <v>1.4039999999999999</v>
      </c>
      <c r="E434" s="114"/>
      <c r="F434" s="114">
        <f t="shared" si="157"/>
        <v>0</v>
      </c>
      <c r="G434" s="114"/>
      <c r="H434" s="114"/>
      <c r="I434" s="114"/>
      <c r="J434" s="114"/>
      <c r="K434" s="114">
        <f t="shared" si="132"/>
        <v>0</v>
      </c>
    </row>
    <row r="435" spans="1:11" x14ac:dyDescent="0.35">
      <c r="A435" s="195"/>
      <c r="B435" s="29" t="s">
        <v>213</v>
      </c>
      <c r="C435" s="17" t="s">
        <v>11</v>
      </c>
      <c r="D435" s="114">
        <f>D432*0.4</f>
        <v>62.400000000000006</v>
      </c>
      <c r="E435" s="114"/>
      <c r="F435" s="114">
        <f t="shared" si="157"/>
        <v>0</v>
      </c>
      <c r="G435" s="114"/>
      <c r="I435" s="114"/>
      <c r="J435" s="114"/>
      <c r="K435" s="114">
        <f>J435+G435+F435</f>
        <v>0</v>
      </c>
    </row>
    <row r="436" spans="1:11" x14ac:dyDescent="0.35">
      <c r="A436" s="195"/>
      <c r="B436" s="29" t="s">
        <v>65</v>
      </c>
      <c r="C436" s="17" t="s">
        <v>11</v>
      </c>
      <c r="D436" s="114">
        <f>0.12*D432</f>
        <v>18.72</v>
      </c>
      <c r="E436" s="114"/>
      <c r="F436" s="114">
        <f t="shared" si="157"/>
        <v>0</v>
      </c>
      <c r="G436" s="114"/>
      <c r="H436" s="114"/>
      <c r="I436" s="114"/>
      <c r="J436" s="114"/>
      <c r="K436" s="114">
        <f t="shared" ref="K436:K440" si="158">J436+H436+F436</f>
        <v>0</v>
      </c>
    </row>
    <row r="437" spans="1:11" x14ac:dyDescent="0.35">
      <c r="A437" s="195"/>
      <c r="B437" s="3" t="s">
        <v>46</v>
      </c>
      <c r="C437" s="17" t="s">
        <v>9</v>
      </c>
      <c r="D437" s="114">
        <f>0.6*D432</f>
        <v>93.6</v>
      </c>
      <c r="E437" s="114"/>
      <c r="F437" s="114">
        <f t="shared" si="157"/>
        <v>0</v>
      </c>
      <c r="G437" s="114"/>
      <c r="H437" s="114"/>
      <c r="I437" s="114"/>
      <c r="J437" s="114"/>
      <c r="K437" s="114">
        <f t="shared" si="158"/>
        <v>0</v>
      </c>
    </row>
    <row r="438" spans="1:11" x14ac:dyDescent="0.35">
      <c r="A438" s="195"/>
      <c r="B438" s="44" t="s">
        <v>69</v>
      </c>
      <c r="C438" s="43" t="s">
        <v>19</v>
      </c>
      <c r="D438" s="116">
        <v>4</v>
      </c>
      <c r="E438" s="48"/>
      <c r="F438" s="116">
        <f t="shared" si="157"/>
        <v>0</v>
      </c>
      <c r="G438" s="40"/>
      <c r="H438" s="40"/>
      <c r="I438" s="40"/>
      <c r="J438" s="41"/>
      <c r="K438" s="114">
        <f t="shared" si="158"/>
        <v>0</v>
      </c>
    </row>
    <row r="439" spans="1:11" x14ac:dyDescent="0.35">
      <c r="A439" s="195"/>
      <c r="B439" s="3" t="s">
        <v>43</v>
      </c>
      <c r="C439" s="17" t="s">
        <v>9</v>
      </c>
      <c r="D439" s="114">
        <f>0.26*D432</f>
        <v>40.56</v>
      </c>
      <c r="E439" s="114"/>
      <c r="F439" s="114">
        <f t="shared" si="157"/>
        <v>0</v>
      </c>
      <c r="G439" s="114"/>
      <c r="H439" s="114"/>
      <c r="I439" s="114"/>
      <c r="J439" s="114"/>
      <c r="K439" s="114">
        <f t="shared" si="158"/>
        <v>0</v>
      </c>
    </row>
    <row r="440" spans="1:11" x14ac:dyDescent="0.35">
      <c r="A440" s="196"/>
      <c r="B440" s="3" t="s">
        <v>66</v>
      </c>
      <c r="C440" s="17" t="s">
        <v>10</v>
      </c>
      <c r="D440" s="114">
        <f>D432*0.03</f>
        <v>4.68</v>
      </c>
      <c r="E440" s="114"/>
      <c r="F440" s="114">
        <f t="shared" si="157"/>
        <v>0</v>
      </c>
      <c r="G440" s="114"/>
      <c r="H440" s="114"/>
      <c r="I440" s="114"/>
      <c r="J440" s="114"/>
      <c r="K440" s="114">
        <f t="shared" si="158"/>
        <v>0</v>
      </c>
    </row>
    <row r="441" spans="1:11" x14ac:dyDescent="0.35">
      <c r="A441" s="197">
        <v>88</v>
      </c>
      <c r="B441" s="36" t="s">
        <v>115</v>
      </c>
      <c r="C441" s="37" t="s">
        <v>8</v>
      </c>
      <c r="D441" s="38">
        <v>2</v>
      </c>
      <c r="E441" s="57"/>
      <c r="F441" s="116"/>
      <c r="G441" s="116"/>
      <c r="H441" s="40">
        <f t="shared" ref="H441" si="159">G441*D441</f>
        <v>0</v>
      </c>
      <c r="I441" s="116"/>
      <c r="J441" s="41">
        <f t="shared" ref="J441" si="160">I441*D441</f>
        <v>0</v>
      </c>
      <c r="K441" s="40">
        <f>J441+H441+F441</f>
        <v>0</v>
      </c>
    </row>
    <row r="442" spans="1:11" x14ac:dyDescent="0.35">
      <c r="A442" s="198"/>
      <c r="B442" s="42" t="s">
        <v>47</v>
      </c>
      <c r="C442" s="43" t="s">
        <v>28</v>
      </c>
      <c r="D442" s="116">
        <f>0.05*D441</f>
        <v>0.1</v>
      </c>
      <c r="E442" s="116"/>
      <c r="F442" s="116">
        <f>E442*D442</f>
        <v>0</v>
      </c>
      <c r="G442" s="116"/>
      <c r="H442" s="40"/>
      <c r="I442" s="116"/>
      <c r="J442" s="41"/>
      <c r="K442" s="40">
        <f>J442+H442+F442</f>
        <v>0</v>
      </c>
    </row>
    <row r="443" spans="1:11" x14ac:dyDescent="0.35">
      <c r="A443" s="198"/>
      <c r="B443" s="42" t="s">
        <v>48</v>
      </c>
      <c r="C443" s="43" t="s">
        <v>29</v>
      </c>
      <c r="D443" s="116">
        <f>0.0124*D441</f>
        <v>2.4799999999999999E-2</v>
      </c>
      <c r="E443" s="116"/>
      <c r="F443" s="116">
        <f t="shared" ref="F443:F444" si="161">E443*D443</f>
        <v>0</v>
      </c>
      <c r="G443" s="116"/>
      <c r="H443" s="40"/>
      <c r="I443" s="116"/>
      <c r="J443" s="41"/>
      <c r="K443" s="40">
        <f>J443+H443+F443</f>
        <v>0</v>
      </c>
    </row>
    <row r="444" spans="1:11" x14ac:dyDescent="0.35">
      <c r="A444" s="199"/>
      <c r="B444" s="44" t="s">
        <v>26</v>
      </c>
      <c r="C444" s="43" t="s">
        <v>10</v>
      </c>
      <c r="D444" s="116">
        <f>D441*0.2</f>
        <v>0.4</v>
      </c>
      <c r="E444" s="116"/>
      <c r="F444" s="116">
        <f t="shared" si="161"/>
        <v>0</v>
      </c>
      <c r="G444" s="116"/>
      <c r="H444" s="40"/>
      <c r="I444" s="116"/>
      <c r="J444" s="41"/>
      <c r="K444" s="40">
        <f>J444+H444+F444</f>
        <v>0</v>
      </c>
    </row>
    <row r="445" spans="1:11" ht="27" x14ac:dyDescent="0.35">
      <c r="A445" s="185">
        <v>89</v>
      </c>
      <c r="B445" s="45" t="s">
        <v>161</v>
      </c>
      <c r="C445" s="37" t="s">
        <v>8</v>
      </c>
      <c r="D445" s="38">
        <v>2</v>
      </c>
      <c r="E445" s="39"/>
      <c r="F445" s="116"/>
      <c r="G445" s="116"/>
      <c r="H445" s="40">
        <f t="shared" ref="H445" si="162">G445*D445</f>
        <v>0</v>
      </c>
      <c r="I445" s="116"/>
      <c r="J445" s="41">
        <f t="shared" ref="J445:J447" si="163">I445*D445</f>
        <v>0</v>
      </c>
      <c r="K445" s="40">
        <f t="shared" ref="K445:K450" si="164">J445+H445+F445</f>
        <v>0</v>
      </c>
    </row>
    <row r="446" spans="1:11" x14ac:dyDescent="0.35">
      <c r="A446" s="193"/>
      <c r="B446" s="44" t="s">
        <v>116</v>
      </c>
      <c r="C446" s="43" t="s">
        <v>8</v>
      </c>
      <c r="D446" s="116">
        <f>1.05*D445</f>
        <v>2.1</v>
      </c>
      <c r="E446" s="116"/>
      <c r="F446" s="116">
        <f t="shared" ref="F446:F450" si="165">E446*D446</f>
        <v>0</v>
      </c>
      <c r="G446" s="116"/>
      <c r="H446" s="40"/>
      <c r="I446" s="116"/>
      <c r="J446" s="41">
        <f t="shared" si="163"/>
        <v>0</v>
      </c>
      <c r="K446" s="40">
        <f t="shared" si="164"/>
        <v>0</v>
      </c>
    </row>
    <row r="447" spans="1:11" x14ac:dyDescent="0.35">
      <c r="A447" s="193"/>
      <c r="B447" s="44" t="s">
        <v>58</v>
      </c>
      <c r="C447" s="43" t="s">
        <v>11</v>
      </c>
      <c r="D447" s="116">
        <f>6*D445</f>
        <v>12</v>
      </c>
      <c r="E447" s="116"/>
      <c r="F447" s="116">
        <f t="shared" si="165"/>
        <v>0</v>
      </c>
      <c r="G447" s="116"/>
      <c r="H447" s="40"/>
      <c r="I447" s="116"/>
      <c r="J447" s="41">
        <f t="shared" si="163"/>
        <v>0</v>
      </c>
      <c r="K447" s="40">
        <f t="shared" si="164"/>
        <v>0</v>
      </c>
    </row>
    <row r="448" spans="1:11" x14ac:dyDescent="0.35">
      <c r="A448" s="193"/>
      <c r="B448" s="22" t="s">
        <v>67</v>
      </c>
      <c r="C448" s="119" t="s">
        <v>38</v>
      </c>
      <c r="D448" s="21">
        <f>D445*0.1</f>
        <v>0.2</v>
      </c>
      <c r="E448" s="21"/>
      <c r="F448" s="114">
        <f t="shared" si="165"/>
        <v>0</v>
      </c>
      <c r="G448" s="21"/>
      <c r="H448" s="114"/>
      <c r="I448" s="21"/>
      <c r="J448" s="114"/>
      <c r="K448" s="114">
        <f t="shared" si="164"/>
        <v>0</v>
      </c>
    </row>
    <row r="449" spans="1:11" x14ac:dyDescent="0.35">
      <c r="A449" s="193"/>
      <c r="B449" s="44" t="s">
        <v>117</v>
      </c>
      <c r="C449" s="43" t="s">
        <v>11</v>
      </c>
      <c r="D449" s="116">
        <f>0.04*D445</f>
        <v>0.08</v>
      </c>
      <c r="E449" s="116"/>
      <c r="F449" s="116">
        <f t="shared" si="165"/>
        <v>0</v>
      </c>
      <c r="G449" s="116"/>
      <c r="H449" s="40"/>
      <c r="I449" s="116"/>
      <c r="J449" s="41"/>
      <c r="K449" s="40">
        <f t="shared" si="164"/>
        <v>0</v>
      </c>
    </row>
    <row r="450" spans="1:11" x14ac:dyDescent="0.35">
      <c r="A450" s="186"/>
      <c r="B450" s="44" t="s">
        <v>26</v>
      </c>
      <c r="C450" s="43" t="s">
        <v>10</v>
      </c>
      <c r="D450" s="116">
        <f>(D445)*0.03</f>
        <v>0.06</v>
      </c>
      <c r="E450" s="116"/>
      <c r="F450" s="116">
        <f t="shared" si="165"/>
        <v>0</v>
      </c>
      <c r="G450" s="116"/>
      <c r="H450" s="40"/>
      <c r="I450" s="116"/>
      <c r="J450" s="41"/>
      <c r="K450" s="40">
        <f t="shared" si="164"/>
        <v>0</v>
      </c>
    </row>
    <row r="451" spans="1:11" x14ac:dyDescent="0.35">
      <c r="A451" s="153"/>
      <c r="B451" s="127" t="s">
        <v>30</v>
      </c>
      <c r="C451" s="43"/>
      <c r="D451" s="116"/>
      <c r="E451" s="116"/>
      <c r="F451" s="116"/>
      <c r="G451" s="116"/>
      <c r="H451" s="40"/>
      <c r="I451" s="116"/>
      <c r="J451" s="41"/>
      <c r="K451" s="40"/>
    </row>
    <row r="452" spans="1:11" ht="27" x14ac:dyDescent="0.35">
      <c r="A452" s="163">
        <v>90</v>
      </c>
      <c r="B452" s="103" t="s">
        <v>341</v>
      </c>
      <c r="C452" s="118" t="s">
        <v>38</v>
      </c>
      <c r="D452" s="60">
        <v>2</v>
      </c>
      <c r="E452" s="21"/>
      <c r="F452" s="114">
        <f t="shared" ref="F452:F461" si="166">E452*D452</f>
        <v>0</v>
      </c>
      <c r="G452" s="21"/>
      <c r="H452" s="114">
        <f t="shared" ref="H452" si="167">G452*D452</f>
        <v>0</v>
      </c>
      <c r="I452" s="21"/>
      <c r="J452" s="114">
        <f t="shared" ref="J452" si="168">I452*D452</f>
        <v>0</v>
      </c>
      <c r="K452" s="114">
        <f t="shared" ref="K452:K469" si="169">J452+H452+F452</f>
        <v>0</v>
      </c>
    </row>
    <row r="453" spans="1:11" x14ac:dyDescent="0.35">
      <c r="A453" s="154">
        <v>91</v>
      </c>
      <c r="B453" s="103" t="s">
        <v>152</v>
      </c>
      <c r="C453" s="118" t="s">
        <v>9</v>
      </c>
      <c r="D453" s="60">
        <v>8</v>
      </c>
      <c r="E453" s="21"/>
      <c r="F453" s="114">
        <f t="shared" si="166"/>
        <v>0</v>
      </c>
      <c r="G453" s="21"/>
      <c r="H453" s="114">
        <f>G453*D453</f>
        <v>0</v>
      </c>
      <c r="I453" s="21"/>
      <c r="J453" s="114">
        <f>I453*D453</f>
        <v>0</v>
      </c>
      <c r="K453" s="114">
        <f t="shared" si="169"/>
        <v>0</v>
      </c>
    </row>
    <row r="454" spans="1:11" x14ac:dyDescent="0.35">
      <c r="A454" s="178"/>
      <c r="B454" s="101" t="s">
        <v>320</v>
      </c>
      <c r="C454" s="119" t="s">
        <v>19</v>
      </c>
      <c r="D454" s="21">
        <v>4</v>
      </c>
      <c r="E454" s="21"/>
      <c r="F454" s="114">
        <f t="shared" si="166"/>
        <v>0</v>
      </c>
      <c r="G454" s="21"/>
      <c r="H454" s="114"/>
      <c r="I454" s="21"/>
      <c r="J454" s="114"/>
      <c r="K454" s="114">
        <f t="shared" si="169"/>
        <v>0</v>
      </c>
    </row>
    <row r="455" spans="1:11" x14ac:dyDescent="0.35">
      <c r="A455" s="182">
        <v>92</v>
      </c>
      <c r="B455" s="103" t="s">
        <v>148</v>
      </c>
      <c r="C455" s="118" t="s">
        <v>9</v>
      </c>
      <c r="D455" s="60">
        <v>12</v>
      </c>
      <c r="E455" s="21"/>
      <c r="F455" s="114">
        <f t="shared" si="166"/>
        <v>0</v>
      </c>
      <c r="G455" s="21"/>
      <c r="H455" s="114">
        <f t="shared" ref="H455:H458" si="170">G455*D455</f>
        <v>0</v>
      </c>
      <c r="I455" s="21"/>
      <c r="J455" s="114">
        <f t="shared" ref="J455" si="171">I455*D455</f>
        <v>0</v>
      </c>
      <c r="K455" s="114">
        <f t="shared" si="169"/>
        <v>0</v>
      </c>
    </row>
    <row r="456" spans="1:11" x14ac:dyDescent="0.35">
      <c r="A456" s="183"/>
      <c r="B456" s="101" t="s">
        <v>178</v>
      </c>
      <c r="C456" s="119" t="s">
        <v>9</v>
      </c>
      <c r="D456" s="21">
        <v>6</v>
      </c>
      <c r="E456" s="21"/>
      <c r="F456" s="114">
        <f t="shared" si="166"/>
        <v>0</v>
      </c>
      <c r="G456" s="21"/>
      <c r="H456" s="114">
        <f t="shared" si="170"/>
        <v>0</v>
      </c>
      <c r="I456" s="21"/>
      <c r="J456" s="114"/>
      <c r="K456" s="114">
        <f t="shared" si="169"/>
        <v>0</v>
      </c>
    </row>
    <row r="457" spans="1:11" x14ac:dyDescent="0.35">
      <c r="A457" s="183"/>
      <c r="B457" s="101" t="s">
        <v>149</v>
      </c>
      <c r="C457" s="119" t="s">
        <v>38</v>
      </c>
      <c r="D457" s="21">
        <v>4</v>
      </c>
      <c r="E457" s="21"/>
      <c r="F457" s="114">
        <f t="shared" si="166"/>
        <v>0</v>
      </c>
      <c r="G457" s="21"/>
      <c r="H457" s="114">
        <f t="shared" si="170"/>
        <v>0</v>
      </c>
      <c r="I457" s="21"/>
      <c r="J457" s="114"/>
      <c r="K457" s="114">
        <f t="shared" si="169"/>
        <v>0</v>
      </c>
    </row>
    <row r="458" spans="1:11" x14ac:dyDescent="0.35">
      <c r="A458" s="183"/>
      <c r="B458" s="101" t="s">
        <v>150</v>
      </c>
      <c r="C458" s="119" t="s">
        <v>38</v>
      </c>
      <c r="D458" s="21">
        <v>2</v>
      </c>
      <c r="E458" s="21"/>
      <c r="F458" s="114">
        <f t="shared" si="166"/>
        <v>0</v>
      </c>
      <c r="G458" s="21"/>
      <c r="H458" s="114">
        <f t="shared" si="170"/>
        <v>0</v>
      </c>
      <c r="I458" s="21"/>
      <c r="J458" s="114">
        <f t="shared" ref="J458" si="172">I458*D458</f>
        <v>0</v>
      </c>
      <c r="K458" s="114">
        <f t="shared" si="169"/>
        <v>0</v>
      </c>
    </row>
    <row r="459" spans="1:11" x14ac:dyDescent="0.35">
      <c r="A459" s="183"/>
      <c r="B459" s="101" t="s">
        <v>151</v>
      </c>
      <c r="C459" s="119" t="s">
        <v>38</v>
      </c>
      <c r="D459" s="21">
        <v>12</v>
      </c>
      <c r="E459" s="21"/>
      <c r="F459" s="114">
        <f t="shared" si="166"/>
        <v>0</v>
      </c>
      <c r="G459" s="21"/>
      <c r="H459" s="114"/>
      <c r="I459" s="21"/>
      <c r="J459" s="114"/>
      <c r="K459" s="114">
        <f t="shared" si="169"/>
        <v>0</v>
      </c>
    </row>
    <row r="460" spans="1:11" x14ac:dyDescent="0.35">
      <c r="A460" s="184"/>
      <c r="B460" s="35" t="s">
        <v>26</v>
      </c>
      <c r="C460" s="119" t="s">
        <v>10</v>
      </c>
      <c r="D460" s="114">
        <v>7</v>
      </c>
      <c r="E460" s="114"/>
      <c r="F460" s="114">
        <f t="shared" si="166"/>
        <v>0</v>
      </c>
      <c r="G460" s="114"/>
      <c r="H460" s="114"/>
      <c r="I460" s="114"/>
      <c r="J460" s="114"/>
      <c r="K460" s="40">
        <f t="shared" si="169"/>
        <v>0</v>
      </c>
    </row>
    <row r="461" spans="1:11" ht="27" x14ac:dyDescent="0.35">
      <c r="A461" s="150">
        <v>93</v>
      </c>
      <c r="B461" s="102" t="s">
        <v>184</v>
      </c>
      <c r="C461" s="118" t="s">
        <v>21</v>
      </c>
      <c r="D461" s="60">
        <v>1</v>
      </c>
      <c r="E461" s="114"/>
      <c r="F461" s="114">
        <f t="shared" si="166"/>
        <v>0</v>
      </c>
      <c r="G461" s="114"/>
      <c r="H461" s="114">
        <f>G461*D461</f>
        <v>0</v>
      </c>
      <c r="I461" s="114"/>
      <c r="J461" s="114">
        <f>I461*D461</f>
        <v>0</v>
      </c>
      <c r="K461" s="114">
        <f t="shared" si="169"/>
        <v>0</v>
      </c>
    </row>
    <row r="462" spans="1:11" x14ac:dyDescent="0.35">
      <c r="A462" s="118"/>
      <c r="B462" s="166" t="s">
        <v>84</v>
      </c>
      <c r="C462" s="119"/>
      <c r="D462" s="114"/>
      <c r="E462" s="114"/>
      <c r="F462" s="114"/>
      <c r="G462" s="114"/>
      <c r="H462" s="114"/>
      <c r="I462" s="114"/>
      <c r="J462" s="114"/>
      <c r="K462" s="40"/>
    </row>
    <row r="463" spans="1:11" x14ac:dyDescent="0.35">
      <c r="A463" s="185">
        <v>94</v>
      </c>
      <c r="B463" s="117" t="s">
        <v>183</v>
      </c>
      <c r="C463" s="118" t="s">
        <v>38</v>
      </c>
      <c r="D463" s="126">
        <v>7</v>
      </c>
      <c r="E463" s="84"/>
      <c r="F463" s="120"/>
      <c r="G463" s="84"/>
      <c r="H463" s="120">
        <f t="shared" ref="H463" si="173">G463*D463</f>
        <v>0</v>
      </c>
      <c r="I463" s="84"/>
      <c r="J463" s="120">
        <f t="shared" ref="J463" si="174">I463*D463</f>
        <v>0</v>
      </c>
      <c r="K463" s="114">
        <f t="shared" si="169"/>
        <v>0</v>
      </c>
    </row>
    <row r="464" spans="1:11" ht="40.5" x14ac:dyDescent="0.35">
      <c r="A464" s="186"/>
      <c r="B464" s="83" t="s">
        <v>189</v>
      </c>
      <c r="C464" s="115" t="s">
        <v>38</v>
      </c>
      <c r="D464" s="84">
        <v>7</v>
      </c>
      <c r="E464" s="84"/>
      <c r="F464" s="114">
        <f t="shared" ref="F464:F469" si="175">E464*D464</f>
        <v>0</v>
      </c>
      <c r="G464" s="84"/>
      <c r="H464" s="114"/>
      <c r="I464" s="84"/>
      <c r="J464" s="114"/>
      <c r="K464" s="114">
        <f t="shared" si="169"/>
        <v>0</v>
      </c>
    </row>
    <row r="465" spans="1:11" ht="27" x14ac:dyDescent="0.35">
      <c r="A465" s="163">
        <v>95</v>
      </c>
      <c r="B465" s="7" t="s">
        <v>86</v>
      </c>
      <c r="C465" s="85" t="s">
        <v>9</v>
      </c>
      <c r="D465" s="84">
        <v>20</v>
      </c>
      <c r="E465" s="84"/>
      <c r="F465" s="114">
        <f t="shared" si="175"/>
        <v>0</v>
      </c>
      <c r="G465" s="84"/>
      <c r="H465" s="114">
        <f t="shared" ref="H465:H468" si="176">G465*D465</f>
        <v>0</v>
      </c>
      <c r="I465" s="114"/>
      <c r="J465" s="114">
        <f t="shared" ref="J465:J468" si="177">I465*D465</f>
        <v>0</v>
      </c>
      <c r="K465" s="114">
        <f t="shared" si="169"/>
        <v>0</v>
      </c>
    </row>
    <row r="466" spans="1:11" ht="27" x14ac:dyDescent="0.35">
      <c r="A466" s="163">
        <v>96</v>
      </c>
      <c r="B466" s="7" t="s">
        <v>24</v>
      </c>
      <c r="C466" s="115" t="s">
        <v>9</v>
      </c>
      <c r="D466" s="114">
        <v>45</v>
      </c>
      <c r="E466" s="114"/>
      <c r="F466" s="114">
        <f t="shared" si="175"/>
        <v>0</v>
      </c>
      <c r="G466" s="114"/>
      <c r="H466" s="114">
        <f t="shared" si="176"/>
        <v>0</v>
      </c>
      <c r="I466" s="114"/>
      <c r="J466" s="114">
        <f t="shared" si="177"/>
        <v>0</v>
      </c>
      <c r="K466" s="114">
        <f t="shared" si="169"/>
        <v>0</v>
      </c>
    </row>
    <row r="467" spans="1:11" x14ac:dyDescent="0.35">
      <c r="A467" s="163">
        <v>97</v>
      </c>
      <c r="B467" s="86" t="s">
        <v>87</v>
      </c>
      <c r="C467" s="43" t="s">
        <v>19</v>
      </c>
      <c r="D467" s="116">
        <v>10</v>
      </c>
      <c r="E467" s="116"/>
      <c r="F467" s="120">
        <f t="shared" si="175"/>
        <v>0</v>
      </c>
      <c r="G467" s="116"/>
      <c r="H467" s="120">
        <f t="shared" si="176"/>
        <v>0</v>
      </c>
      <c r="I467" s="116"/>
      <c r="J467" s="120">
        <f t="shared" si="177"/>
        <v>0</v>
      </c>
      <c r="K467" s="114">
        <f t="shared" si="169"/>
        <v>0</v>
      </c>
    </row>
    <row r="468" spans="1:11" x14ac:dyDescent="0.35">
      <c r="A468" s="185">
        <v>98</v>
      </c>
      <c r="B468" s="7" t="s">
        <v>25</v>
      </c>
      <c r="C468" s="115" t="s">
        <v>19</v>
      </c>
      <c r="D468" s="114">
        <v>1</v>
      </c>
      <c r="E468" s="114"/>
      <c r="F468" s="120">
        <f t="shared" si="175"/>
        <v>0</v>
      </c>
      <c r="G468" s="114"/>
      <c r="H468" s="120">
        <f t="shared" si="176"/>
        <v>0</v>
      </c>
      <c r="I468" s="114"/>
      <c r="J468" s="120">
        <f t="shared" si="177"/>
        <v>0</v>
      </c>
      <c r="K468" s="114">
        <f t="shared" si="169"/>
        <v>0</v>
      </c>
    </row>
    <row r="469" spans="1:11" x14ac:dyDescent="0.35">
      <c r="A469" s="186"/>
      <c r="B469" s="35" t="s">
        <v>168</v>
      </c>
      <c r="C469" s="119" t="s">
        <v>10</v>
      </c>
      <c r="D469" s="114">
        <v>7</v>
      </c>
      <c r="E469" s="114"/>
      <c r="F469" s="120">
        <f t="shared" si="175"/>
        <v>0</v>
      </c>
      <c r="G469" s="114"/>
      <c r="H469" s="114"/>
      <c r="I469" s="114"/>
      <c r="J469" s="114"/>
      <c r="K469" s="114">
        <f t="shared" si="169"/>
        <v>0</v>
      </c>
    </row>
    <row r="470" spans="1:11" ht="20.149999999999999" customHeight="1" x14ac:dyDescent="0.35">
      <c r="A470" s="128"/>
      <c r="B470" s="139" t="s">
        <v>342</v>
      </c>
      <c r="C470" s="129"/>
      <c r="D470" s="138"/>
      <c r="E470" s="138"/>
      <c r="F470" s="138"/>
      <c r="G470" s="138"/>
      <c r="H470" s="138"/>
      <c r="I470" s="138"/>
      <c r="J470" s="138"/>
      <c r="K470" s="138"/>
    </row>
    <row r="471" spans="1:11" ht="27" x14ac:dyDescent="0.35">
      <c r="A471" s="118">
        <v>1</v>
      </c>
      <c r="B471" s="25" t="s">
        <v>193</v>
      </c>
      <c r="C471" s="118" t="s">
        <v>21</v>
      </c>
      <c r="D471" s="60">
        <v>4</v>
      </c>
      <c r="E471" s="114"/>
      <c r="F471" s="114"/>
      <c r="G471" s="114"/>
      <c r="H471" s="114">
        <f>G471*D471</f>
        <v>0</v>
      </c>
      <c r="I471" s="114"/>
      <c r="J471" s="114"/>
      <c r="K471" s="114">
        <f>J471+H471+F471</f>
        <v>0</v>
      </c>
    </row>
    <row r="472" spans="1:11" x14ac:dyDescent="0.35">
      <c r="A472" s="118">
        <v>2</v>
      </c>
      <c r="B472" s="25" t="s">
        <v>191</v>
      </c>
      <c r="C472" s="118" t="s">
        <v>21</v>
      </c>
      <c r="D472" s="60">
        <v>4</v>
      </c>
      <c r="E472" s="114"/>
      <c r="F472" s="114"/>
      <c r="G472" s="114"/>
      <c r="H472" s="114">
        <f t="shared" ref="H472:H483" si="178">G472*D472</f>
        <v>0</v>
      </c>
      <c r="I472" s="114"/>
      <c r="J472" s="114"/>
      <c r="K472" s="114">
        <f t="shared" ref="K472:K482" si="179">J472+H472+F472</f>
        <v>0</v>
      </c>
    </row>
    <row r="473" spans="1:11" x14ac:dyDescent="0.35">
      <c r="A473" s="118">
        <v>3</v>
      </c>
      <c r="B473" s="25" t="s">
        <v>192</v>
      </c>
      <c r="C473" s="118" t="s">
        <v>21</v>
      </c>
      <c r="D473" s="60">
        <v>2</v>
      </c>
      <c r="E473" s="114"/>
      <c r="F473" s="114"/>
      <c r="G473" s="114"/>
      <c r="H473" s="114">
        <f t="shared" si="178"/>
        <v>0</v>
      </c>
      <c r="I473" s="114"/>
      <c r="J473" s="114"/>
      <c r="K473" s="114">
        <f t="shared" si="179"/>
        <v>0</v>
      </c>
    </row>
    <row r="474" spans="1:11" ht="27" x14ac:dyDescent="0.35">
      <c r="A474" s="118">
        <v>5</v>
      </c>
      <c r="B474" s="25" t="s">
        <v>194</v>
      </c>
      <c r="C474" s="118" t="s">
        <v>23</v>
      </c>
      <c r="D474" s="60">
        <v>21</v>
      </c>
      <c r="E474" s="114"/>
      <c r="F474" s="114"/>
      <c r="G474" s="114"/>
      <c r="H474" s="114">
        <f t="shared" si="178"/>
        <v>0</v>
      </c>
      <c r="I474" s="114"/>
      <c r="J474" s="114"/>
      <c r="K474" s="114">
        <f t="shared" si="179"/>
        <v>0</v>
      </c>
    </row>
    <row r="475" spans="1:11" x14ac:dyDescent="0.35">
      <c r="A475" s="118">
        <v>5</v>
      </c>
      <c r="B475" s="25" t="s">
        <v>197</v>
      </c>
      <c r="C475" s="118" t="s">
        <v>23</v>
      </c>
      <c r="D475" s="60">
        <v>34</v>
      </c>
      <c r="E475" s="114"/>
      <c r="F475" s="114"/>
      <c r="G475" s="114"/>
      <c r="H475" s="114">
        <f t="shared" si="178"/>
        <v>0</v>
      </c>
      <c r="I475" s="114"/>
      <c r="J475" s="114"/>
      <c r="K475" s="114">
        <f t="shared" si="179"/>
        <v>0</v>
      </c>
    </row>
    <row r="476" spans="1:11" x14ac:dyDescent="0.35">
      <c r="A476" s="118">
        <v>6</v>
      </c>
      <c r="B476" s="25" t="s">
        <v>195</v>
      </c>
      <c r="C476" s="118" t="s">
        <v>19</v>
      </c>
      <c r="D476" s="60">
        <v>9</v>
      </c>
      <c r="E476" s="114"/>
      <c r="F476" s="114"/>
      <c r="G476" s="114"/>
      <c r="H476" s="114">
        <f t="shared" si="178"/>
        <v>0</v>
      </c>
      <c r="I476" s="114"/>
      <c r="J476" s="114"/>
      <c r="K476" s="114">
        <f t="shared" si="179"/>
        <v>0</v>
      </c>
    </row>
    <row r="477" spans="1:11" x14ac:dyDescent="0.35">
      <c r="A477" s="118">
        <v>8</v>
      </c>
      <c r="B477" s="25" t="s">
        <v>205</v>
      </c>
      <c r="C477" s="118" t="s">
        <v>23</v>
      </c>
      <c r="D477" s="75">
        <v>48</v>
      </c>
      <c r="E477" s="120"/>
      <c r="F477" s="120"/>
      <c r="G477" s="120"/>
      <c r="H477" s="114">
        <f t="shared" si="178"/>
        <v>0</v>
      </c>
      <c r="I477" s="120"/>
      <c r="J477" s="120"/>
      <c r="K477" s="114">
        <f t="shared" si="179"/>
        <v>0</v>
      </c>
    </row>
    <row r="478" spans="1:11" x14ac:dyDescent="0.35">
      <c r="A478" s="118">
        <v>9</v>
      </c>
      <c r="B478" s="25" t="s">
        <v>147</v>
      </c>
      <c r="C478" s="37" t="s">
        <v>8</v>
      </c>
      <c r="D478" s="60">
        <f>0.9*2.15</f>
        <v>1.9350000000000001</v>
      </c>
      <c r="E478" s="114"/>
      <c r="F478" s="114"/>
      <c r="G478" s="114"/>
      <c r="H478" s="114">
        <f>G478*D478</f>
        <v>0</v>
      </c>
      <c r="I478" s="114"/>
      <c r="J478" s="114"/>
      <c r="K478" s="40">
        <f t="shared" si="179"/>
        <v>0</v>
      </c>
    </row>
    <row r="479" spans="1:11" ht="27" x14ac:dyDescent="0.35">
      <c r="A479" s="176">
        <v>10</v>
      </c>
      <c r="B479" s="25" t="s">
        <v>211</v>
      </c>
      <c r="C479" s="37" t="s">
        <v>8</v>
      </c>
      <c r="D479" s="60">
        <v>18</v>
      </c>
      <c r="E479" s="114"/>
      <c r="F479" s="114"/>
      <c r="G479" s="114"/>
      <c r="H479" s="114">
        <f>G479*D479</f>
        <v>0</v>
      </c>
      <c r="I479" s="114"/>
      <c r="J479" s="114"/>
      <c r="K479" s="40">
        <f t="shared" si="179"/>
        <v>0</v>
      </c>
    </row>
    <row r="480" spans="1:11" x14ac:dyDescent="0.35">
      <c r="A480" s="176">
        <v>11</v>
      </c>
      <c r="B480" s="25" t="s">
        <v>196</v>
      </c>
      <c r="C480" s="9" t="s">
        <v>19</v>
      </c>
      <c r="D480" s="75">
        <v>10</v>
      </c>
      <c r="E480" s="120"/>
      <c r="F480" s="120"/>
      <c r="G480" s="120"/>
      <c r="H480" s="114">
        <f t="shared" si="178"/>
        <v>0</v>
      </c>
      <c r="I480" s="120"/>
      <c r="J480" s="120"/>
      <c r="K480" s="114">
        <f t="shared" si="179"/>
        <v>0</v>
      </c>
    </row>
    <row r="481" spans="1:11" x14ac:dyDescent="0.35">
      <c r="A481" s="176">
        <v>12</v>
      </c>
      <c r="B481" s="25" t="s">
        <v>198</v>
      </c>
      <c r="C481" s="9" t="s">
        <v>19</v>
      </c>
      <c r="D481" s="75">
        <v>5</v>
      </c>
      <c r="E481" s="120"/>
      <c r="F481" s="120"/>
      <c r="G481" s="120"/>
      <c r="H481" s="114">
        <f t="shared" si="178"/>
        <v>0</v>
      </c>
      <c r="I481" s="120"/>
      <c r="J481" s="120"/>
      <c r="K481" s="114">
        <f t="shared" si="179"/>
        <v>0</v>
      </c>
    </row>
    <row r="482" spans="1:11" x14ac:dyDescent="0.35">
      <c r="A482" s="176">
        <v>13</v>
      </c>
      <c r="B482" s="25" t="s">
        <v>199</v>
      </c>
      <c r="C482" s="118" t="s">
        <v>23</v>
      </c>
      <c r="D482" s="75">
        <v>10</v>
      </c>
      <c r="E482" s="120"/>
      <c r="F482" s="120"/>
      <c r="G482" s="120"/>
      <c r="H482" s="114">
        <f t="shared" si="178"/>
        <v>0</v>
      </c>
      <c r="I482" s="120"/>
      <c r="J482" s="120"/>
      <c r="K482" s="114">
        <f t="shared" si="179"/>
        <v>0</v>
      </c>
    </row>
    <row r="483" spans="1:11" x14ac:dyDescent="0.35">
      <c r="A483" s="190"/>
      <c r="B483" s="36" t="s">
        <v>115</v>
      </c>
      <c r="C483" s="37" t="s">
        <v>8</v>
      </c>
      <c r="D483" s="38">
        <v>10</v>
      </c>
      <c r="E483" s="57"/>
      <c r="F483" s="116"/>
      <c r="G483" s="116"/>
      <c r="H483" s="40">
        <f t="shared" si="178"/>
        <v>0</v>
      </c>
      <c r="I483" s="116"/>
      <c r="J483" s="41">
        <f t="shared" ref="J483" si="180">I483*D483</f>
        <v>0</v>
      </c>
      <c r="K483" s="40">
        <f>J483+H483+F483</f>
        <v>0</v>
      </c>
    </row>
    <row r="484" spans="1:11" x14ac:dyDescent="0.35">
      <c r="A484" s="191"/>
      <c r="B484" s="42" t="s">
        <v>47</v>
      </c>
      <c r="C484" s="43" t="s">
        <v>28</v>
      </c>
      <c r="D484" s="116">
        <f>0.05*D483</f>
        <v>0.5</v>
      </c>
      <c r="E484" s="116"/>
      <c r="F484" s="116">
        <f>E484*D484</f>
        <v>0</v>
      </c>
      <c r="G484" s="116"/>
      <c r="H484" s="40"/>
      <c r="I484" s="116"/>
      <c r="J484" s="41"/>
      <c r="K484" s="40">
        <f>J484+H484+F484</f>
        <v>0</v>
      </c>
    </row>
    <row r="485" spans="1:11" x14ac:dyDescent="0.35">
      <c r="A485" s="191"/>
      <c r="B485" s="42" t="s">
        <v>48</v>
      </c>
      <c r="C485" s="43" t="s">
        <v>29</v>
      </c>
      <c r="D485" s="116">
        <f>0.0124*D483</f>
        <v>0.124</v>
      </c>
      <c r="E485" s="116"/>
      <c r="F485" s="116">
        <f t="shared" ref="F485:F486" si="181">E485*D485</f>
        <v>0</v>
      </c>
      <c r="G485" s="116"/>
      <c r="H485" s="40"/>
      <c r="I485" s="116"/>
      <c r="J485" s="41"/>
      <c r="K485" s="40">
        <f>J485+H485+F485</f>
        <v>0</v>
      </c>
    </row>
    <row r="486" spans="1:11" x14ac:dyDescent="0.35">
      <c r="A486" s="192"/>
      <c r="B486" s="44" t="s">
        <v>26</v>
      </c>
      <c r="C486" s="43" t="s">
        <v>10</v>
      </c>
      <c r="D486" s="116">
        <f>D483*0.2</f>
        <v>2</v>
      </c>
      <c r="E486" s="116"/>
      <c r="F486" s="116">
        <f t="shared" si="181"/>
        <v>0</v>
      </c>
      <c r="G486" s="116"/>
      <c r="H486" s="40"/>
      <c r="I486" s="116"/>
      <c r="J486" s="41"/>
      <c r="K486" s="40">
        <f>J486+H486+F486</f>
        <v>0</v>
      </c>
    </row>
    <row r="487" spans="1:11" ht="27" x14ac:dyDescent="0.35">
      <c r="A487" s="185">
        <v>14</v>
      </c>
      <c r="B487" s="45" t="s">
        <v>161</v>
      </c>
      <c r="C487" s="37" t="s">
        <v>8</v>
      </c>
      <c r="D487" s="38">
        <v>6</v>
      </c>
      <c r="E487" s="39"/>
      <c r="F487" s="116"/>
      <c r="G487" s="116"/>
      <c r="H487" s="40">
        <f t="shared" ref="H487" si="182">G487*D487</f>
        <v>0</v>
      </c>
      <c r="I487" s="116"/>
      <c r="J487" s="41">
        <f t="shared" ref="J487:J489" si="183">I487*D487</f>
        <v>0</v>
      </c>
      <c r="K487" s="40">
        <f t="shared" ref="K487:K493" si="184">J487+H487+F487</f>
        <v>0</v>
      </c>
    </row>
    <row r="488" spans="1:11" x14ac:dyDescent="0.35">
      <c r="A488" s="193"/>
      <c r="B488" s="44" t="s">
        <v>116</v>
      </c>
      <c r="C488" s="43" t="s">
        <v>8</v>
      </c>
      <c r="D488" s="116">
        <f>1.05*D487</f>
        <v>6.3000000000000007</v>
      </c>
      <c r="E488" s="116"/>
      <c r="F488" s="116">
        <f t="shared" ref="F488:F492" si="185">E488*D488</f>
        <v>0</v>
      </c>
      <c r="G488" s="116"/>
      <c r="H488" s="40"/>
      <c r="I488" s="116"/>
      <c r="J488" s="41">
        <f t="shared" si="183"/>
        <v>0</v>
      </c>
      <c r="K488" s="40">
        <f t="shared" si="184"/>
        <v>0</v>
      </c>
    </row>
    <row r="489" spans="1:11" x14ac:dyDescent="0.35">
      <c r="A489" s="193"/>
      <c r="B489" s="44" t="s">
        <v>58</v>
      </c>
      <c r="C489" s="43" t="s">
        <v>11</v>
      </c>
      <c r="D489" s="116">
        <f>6*D487</f>
        <v>36</v>
      </c>
      <c r="E489" s="116"/>
      <c r="F489" s="116">
        <f t="shared" si="185"/>
        <v>0</v>
      </c>
      <c r="G489" s="116"/>
      <c r="H489" s="40"/>
      <c r="I489" s="116"/>
      <c r="J489" s="41">
        <f t="shared" si="183"/>
        <v>0</v>
      </c>
      <c r="K489" s="40">
        <f t="shared" si="184"/>
        <v>0</v>
      </c>
    </row>
    <row r="490" spans="1:11" x14ac:dyDescent="0.35">
      <c r="A490" s="193"/>
      <c r="B490" s="22" t="s">
        <v>67</v>
      </c>
      <c r="C490" s="119" t="s">
        <v>38</v>
      </c>
      <c r="D490" s="21">
        <f>D487*0.1</f>
        <v>0.60000000000000009</v>
      </c>
      <c r="E490" s="21"/>
      <c r="F490" s="114">
        <f t="shared" si="185"/>
        <v>0</v>
      </c>
      <c r="G490" s="21"/>
      <c r="H490" s="114"/>
      <c r="I490" s="21"/>
      <c r="J490" s="114"/>
      <c r="K490" s="114">
        <f t="shared" si="184"/>
        <v>0</v>
      </c>
    </row>
    <row r="491" spans="1:11" x14ac:dyDescent="0.35">
      <c r="A491" s="193"/>
      <c r="B491" s="44" t="s">
        <v>117</v>
      </c>
      <c r="C491" s="43" t="s">
        <v>11</v>
      </c>
      <c r="D491" s="116">
        <f>0.04*D487</f>
        <v>0.24</v>
      </c>
      <c r="E491" s="116"/>
      <c r="F491" s="116">
        <f t="shared" si="185"/>
        <v>0</v>
      </c>
      <c r="G491" s="116"/>
      <c r="H491" s="40"/>
      <c r="I491" s="116"/>
      <c r="J491" s="41"/>
      <c r="K491" s="40">
        <f t="shared" si="184"/>
        <v>0</v>
      </c>
    </row>
    <row r="492" spans="1:11" x14ac:dyDescent="0.35">
      <c r="A492" s="186"/>
      <c r="B492" s="44" t="s">
        <v>26</v>
      </c>
      <c r="C492" s="43" t="s">
        <v>10</v>
      </c>
      <c r="D492" s="116">
        <f>(D487)*0.03</f>
        <v>0.18</v>
      </c>
      <c r="E492" s="116"/>
      <c r="F492" s="116">
        <f t="shared" si="185"/>
        <v>0</v>
      </c>
      <c r="G492" s="116"/>
      <c r="H492" s="40"/>
      <c r="I492" s="116"/>
      <c r="J492" s="41"/>
      <c r="K492" s="40">
        <f t="shared" si="184"/>
        <v>0</v>
      </c>
    </row>
    <row r="493" spans="1:11" ht="27" x14ac:dyDescent="0.35">
      <c r="A493" s="159">
        <v>15</v>
      </c>
      <c r="B493" s="45" t="s">
        <v>253</v>
      </c>
      <c r="C493" s="37" t="s">
        <v>8</v>
      </c>
      <c r="D493" s="38">
        <v>4</v>
      </c>
      <c r="E493" s="116"/>
      <c r="F493" s="116">
        <f>E493*D493</f>
        <v>0</v>
      </c>
      <c r="G493" s="116"/>
      <c r="H493" s="40">
        <f>G493*D493</f>
        <v>0</v>
      </c>
      <c r="I493" s="116"/>
      <c r="J493" s="41">
        <f>I493*D493</f>
        <v>0</v>
      </c>
      <c r="K493" s="40">
        <f t="shared" si="184"/>
        <v>0</v>
      </c>
    </row>
    <row r="494" spans="1:11" x14ac:dyDescent="0.35">
      <c r="A494" s="185">
        <v>16</v>
      </c>
      <c r="B494" s="45" t="s">
        <v>370</v>
      </c>
      <c r="C494" s="37" t="s">
        <v>8</v>
      </c>
      <c r="D494" s="38">
        <v>4</v>
      </c>
      <c r="E494" s="39"/>
      <c r="F494" s="116"/>
      <c r="G494" s="116"/>
      <c r="H494" s="40">
        <f t="shared" ref="H494" si="186">G494*D494</f>
        <v>0</v>
      </c>
      <c r="I494" s="116"/>
      <c r="J494" s="41">
        <f t="shared" ref="J494:J496" si="187">I494*D494</f>
        <v>0</v>
      </c>
      <c r="K494" s="40">
        <f t="shared" ref="K494:K514" si="188">J494+H494+F494</f>
        <v>0</v>
      </c>
    </row>
    <row r="495" spans="1:11" x14ac:dyDescent="0.35">
      <c r="A495" s="193"/>
      <c r="B495" s="44" t="s">
        <v>343</v>
      </c>
      <c r="C495" s="43" t="s">
        <v>8</v>
      </c>
      <c r="D495" s="116">
        <f>1.05*D494</f>
        <v>4.2</v>
      </c>
      <c r="E495" s="116"/>
      <c r="F495" s="116">
        <f t="shared" ref="F495:F499" si="189">E495*D495</f>
        <v>0</v>
      </c>
      <c r="G495" s="116"/>
      <c r="H495" s="40"/>
      <c r="I495" s="116"/>
      <c r="J495" s="41">
        <f t="shared" si="187"/>
        <v>0</v>
      </c>
      <c r="K495" s="40">
        <f t="shared" si="188"/>
        <v>0</v>
      </c>
    </row>
    <row r="496" spans="1:11" x14ac:dyDescent="0.35">
      <c r="A496" s="193"/>
      <c r="B496" s="44" t="s">
        <v>58</v>
      </c>
      <c r="C496" s="43" t="s">
        <v>11</v>
      </c>
      <c r="D496" s="116">
        <f>6*D494</f>
        <v>24</v>
      </c>
      <c r="E496" s="116"/>
      <c r="F496" s="116">
        <f t="shared" si="189"/>
        <v>0</v>
      </c>
      <c r="G496" s="116"/>
      <c r="H496" s="40"/>
      <c r="I496" s="116"/>
      <c r="J496" s="41">
        <f t="shared" si="187"/>
        <v>0</v>
      </c>
      <c r="K496" s="40">
        <f t="shared" si="188"/>
        <v>0</v>
      </c>
    </row>
    <row r="497" spans="1:11" x14ac:dyDescent="0.35">
      <c r="A497" s="193"/>
      <c r="B497" s="22" t="s">
        <v>67</v>
      </c>
      <c r="C497" s="119" t="s">
        <v>38</v>
      </c>
      <c r="D497" s="21">
        <f>D494*0.1</f>
        <v>0.4</v>
      </c>
      <c r="E497" s="21"/>
      <c r="F497" s="114">
        <f t="shared" si="189"/>
        <v>0</v>
      </c>
      <c r="G497" s="21"/>
      <c r="H497" s="114"/>
      <c r="I497" s="21"/>
      <c r="J497" s="114"/>
      <c r="K497" s="114">
        <f t="shared" si="188"/>
        <v>0</v>
      </c>
    </row>
    <row r="498" spans="1:11" x14ac:dyDescent="0.35">
      <c r="A498" s="193"/>
      <c r="B498" s="44" t="s">
        <v>117</v>
      </c>
      <c r="C498" s="43" t="s">
        <v>11</v>
      </c>
      <c r="D498" s="116">
        <f>0.04*D494</f>
        <v>0.16</v>
      </c>
      <c r="E498" s="116"/>
      <c r="F498" s="116">
        <f t="shared" si="189"/>
        <v>0</v>
      </c>
      <c r="G498" s="116"/>
      <c r="H498" s="40"/>
      <c r="I498" s="116"/>
      <c r="J498" s="41"/>
      <c r="K498" s="40">
        <f t="shared" si="188"/>
        <v>0</v>
      </c>
    </row>
    <row r="499" spans="1:11" x14ac:dyDescent="0.35">
      <c r="A499" s="186"/>
      <c r="B499" s="44" t="s">
        <v>26</v>
      </c>
      <c r="C499" s="43" t="s">
        <v>10</v>
      </c>
      <c r="D499" s="116">
        <f>(D494)*0.03</f>
        <v>0.12</v>
      </c>
      <c r="E499" s="116"/>
      <c r="F499" s="116">
        <f t="shared" si="189"/>
        <v>0</v>
      </c>
      <c r="G499" s="116"/>
      <c r="H499" s="40"/>
      <c r="I499" s="116"/>
      <c r="J499" s="41"/>
      <c r="K499" s="40">
        <f t="shared" si="188"/>
        <v>0</v>
      </c>
    </row>
    <row r="500" spans="1:11" x14ac:dyDescent="0.35">
      <c r="A500" s="194">
        <v>17</v>
      </c>
      <c r="B500" s="25" t="s">
        <v>169</v>
      </c>
      <c r="C500" s="37" t="s">
        <v>8</v>
      </c>
      <c r="D500" s="75">
        <v>22</v>
      </c>
      <c r="E500" s="120"/>
      <c r="F500" s="120"/>
      <c r="G500" s="120"/>
      <c r="H500" s="120">
        <f>G500*D500</f>
        <v>0</v>
      </c>
      <c r="I500" s="120"/>
      <c r="J500" s="120"/>
      <c r="K500" s="40">
        <f t="shared" si="188"/>
        <v>0</v>
      </c>
    </row>
    <row r="501" spans="1:11" x14ac:dyDescent="0.35">
      <c r="A501" s="195"/>
      <c r="B501" s="141" t="s">
        <v>143</v>
      </c>
      <c r="C501" s="43" t="s">
        <v>8</v>
      </c>
      <c r="D501" s="114">
        <f>D500*2.1</f>
        <v>46.2</v>
      </c>
      <c r="E501" s="114"/>
      <c r="F501" s="114">
        <f>E501*D501</f>
        <v>0</v>
      </c>
      <c r="G501" s="114"/>
      <c r="H501" s="114"/>
      <c r="I501" s="114"/>
      <c r="J501" s="114"/>
      <c r="K501" s="40">
        <f t="shared" si="188"/>
        <v>0</v>
      </c>
    </row>
    <row r="502" spans="1:11" ht="27" x14ac:dyDescent="0.35">
      <c r="A502" s="195"/>
      <c r="B502" s="7" t="s">
        <v>27</v>
      </c>
      <c r="C502" s="119" t="s">
        <v>8</v>
      </c>
      <c r="D502" s="114">
        <f>D500</f>
        <v>22</v>
      </c>
      <c r="E502" s="114"/>
      <c r="F502" s="114">
        <f t="shared" ref="F502:F504" si="190">E502*D502</f>
        <v>0</v>
      </c>
      <c r="G502" s="114"/>
      <c r="H502" s="114"/>
      <c r="I502" s="114"/>
      <c r="J502" s="114"/>
      <c r="K502" s="40">
        <f t="shared" si="188"/>
        <v>0</v>
      </c>
    </row>
    <row r="503" spans="1:11" x14ac:dyDescent="0.35">
      <c r="A503" s="195"/>
      <c r="B503" s="35" t="s">
        <v>64</v>
      </c>
      <c r="C503" s="119" t="s">
        <v>8</v>
      </c>
      <c r="D503" s="114">
        <f>D502</f>
        <v>22</v>
      </c>
      <c r="E503" s="114"/>
      <c r="F503" s="114">
        <f t="shared" si="190"/>
        <v>0</v>
      </c>
      <c r="G503" s="114"/>
      <c r="H503" s="114"/>
      <c r="I503" s="114"/>
      <c r="J503" s="114"/>
      <c r="K503" s="40">
        <f t="shared" si="188"/>
        <v>0</v>
      </c>
    </row>
    <row r="504" spans="1:11" x14ac:dyDescent="0.35">
      <c r="A504" s="196"/>
      <c r="B504" s="35" t="s">
        <v>26</v>
      </c>
      <c r="C504" s="119" t="s">
        <v>10</v>
      </c>
      <c r="D504" s="114">
        <f>D503*0.1</f>
        <v>2.2000000000000002</v>
      </c>
      <c r="E504" s="114"/>
      <c r="F504" s="114">
        <f t="shared" si="190"/>
        <v>0</v>
      </c>
      <c r="G504" s="114"/>
      <c r="H504" s="114"/>
      <c r="I504" s="114"/>
      <c r="J504" s="114"/>
      <c r="K504" s="40">
        <f t="shared" si="188"/>
        <v>0</v>
      </c>
    </row>
    <row r="505" spans="1:11" ht="27" x14ac:dyDescent="0.35">
      <c r="A505" s="194">
        <v>18</v>
      </c>
      <c r="B505" s="25" t="s">
        <v>203</v>
      </c>
      <c r="C505" s="37" t="s">
        <v>8</v>
      </c>
      <c r="D505" s="60">
        <v>16</v>
      </c>
      <c r="E505" s="114"/>
      <c r="F505" s="114"/>
      <c r="G505" s="114"/>
      <c r="H505" s="114">
        <f>G505*D505</f>
        <v>0</v>
      </c>
      <c r="I505" s="114"/>
      <c r="J505" s="114"/>
      <c r="K505" s="40">
        <f t="shared" si="188"/>
        <v>0</v>
      </c>
    </row>
    <row r="506" spans="1:11" x14ac:dyDescent="0.35">
      <c r="A506" s="195"/>
      <c r="B506" s="141" t="s">
        <v>143</v>
      </c>
      <c r="C506" s="43" t="s">
        <v>8</v>
      </c>
      <c r="D506" s="114">
        <f>D505*1.05</f>
        <v>16.8</v>
      </c>
      <c r="E506" s="114"/>
      <c r="F506" s="114">
        <f>E506*D506</f>
        <v>0</v>
      </c>
      <c r="G506" s="114"/>
      <c r="H506" s="114"/>
      <c r="I506" s="114"/>
      <c r="J506" s="114"/>
      <c r="K506" s="40">
        <f t="shared" si="188"/>
        <v>0</v>
      </c>
    </row>
    <row r="507" spans="1:11" x14ac:dyDescent="0.35">
      <c r="A507" s="195"/>
      <c r="B507" s="7" t="s">
        <v>204</v>
      </c>
      <c r="C507" s="119" t="s">
        <v>8</v>
      </c>
      <c r="D507" s="114">
        <f>D505</f>
        <v>16</v>
      </c>
      <c r="E507" s="114"/>
      <c r="F507" s="114">
        <f t="shared" ref="F507:F509" si="191">E507*D507</f>
        <v>0</v>
      </c>
      <c r="G507" s="114"/>
      <c r="H507" s="114"/>
      <c r="I507" s="114"/>
      <c r="J507" s="114"/>
      <c r="K507" s="40">
        <f t="shared" si="188"/>
        <v>0</v>
      </c>
    </row>
    <row r="508" spans="1:11" x14ac:dyDescent="0.35">
      <c r="A508" s="195"/>
      <c r="B508" s="35" t="s">
        <v>64</v>
      </c>
      <c r="C508" s="119" t="s">
        <v>8</v>
      </c>
      <c r="D508" s="114">
        <f>D507</f>
        <v>16</v>
      </c>
      <c r="E508" s="114"/>
      <c r="F508" s="114">
        <f t="shared" si="191"/>
        <v>0</v>
      </c>
      <c r="G508" s="114"/>
      <c r="H508" s="114"/>
      <c r="I508" s="114"/>
      <c r="J508" s="114"/>
      <c r="K508" s="40">
        <f t="shared" si="188"/>
        <v>0</v>
      </c>
    </row>
    <row r="509" spans="1:11" x14ac:dyDescent="0.35">
      <c r="A509" s="196"/>
      <c r="B509" s="35" t="s">
        <v>26</v>
      </c>
      <c r="C509" s="119" t="s">
        <v>10</v>
      </c>
      <c r="D509" s="114">
        <f>D508*0.1</f>
        <v>1.6</v>
      </c>
      <c r="E509" s="114"/>
      <c r="F509" s="114">
        <f t="shared" si="191"/>
        <v>0</v>
      </c>
      <c r="G509" s="114"/>
      <c r="H509" s="114"/>
      <c r="I509" s="114"/>
      <c r="J509" s="114"/>
      <c r="K509" s="40">
        <f t="shared" si="188"/>
        <v>0</v>
      </c>
    </row>
    <row r="510" spans="1:11" ht="27" x14ac:dyDescent="0.35">
      <c r="A510" s="140">
        <v>19</v>
      </c>
      <c r="B510" s="25" t="s">
        <v>206</v>
      </c>
      <c r="C510" s="37" t="s">
        <v>8</v>
      </c>
      <c r="D510" s="60">
        <f>0.9*2.15</f>
        <v>1.9350000000000001</v>
      </c>
      <c r="E510" s="114"/>
      <c r="F510" s="114"/>
      <c r="G510" s="114"/>
      <c r="H510" s="114">
        <f>G510*D510</f>
        <v>0</v>
      </c>
      <c r="I510" s="114"/>
      <c r="J510" s="114">
        <f>I510*D510</f>
        <v>0</v>
      </c>
      <c r="K510" s="40">
        <f t="shared" si="188"/>
        <v>0</v>
      </c>
    </row>
    <row r="511" spans="1:11" ht="27" x14ac:dyDescent="0.35">
      <c r="A511" s="182">
        <v>20</v>
      </c>
      <c r="B511" s="105" t="s">
        <v>207</v>
      </c>
      <c r="C511" s="59" t="s">
        <v>8</v>
      </c>
      <c r="D511" s="61">
        <v>55</v>
      </c>
      <c r="E511" s="21"/>
      <c r="F511" s="21"/>
      <c r="G511" s="21"/>
      <c r="H511" s="21">
        <f t="shared" ref="H511" si="192">G511*D511</f>
        <v>0</v>
      </c>
      <c r="I511" s="21"/>
      <c r="J511" s="21">
        <f t="shared" ref="J511" si="193">I511*D511</f>
        <v>0</v>
      </c>
      <c r="K511" s="21">
        <f t="shared" si="188"/>
        <v>0</v>
      </c>
    </row>
    <row r="512" spans="1:11" x14ac:dyDescent="0.35">
      <c r="A512" s="183"/>
      <c r="B512" s="69" t="s">
        <v>172</v>
      </c>
      <c r="C512" s="119" t="s">
        <v>8</v>
      </c>
      <c r="D512" s="21">
        <f>D511*1.03</f>
        <v>56.65</v>
      </c>
      <c r="E512" s="21"/>
      <c r="F512" s="21">
        <f t="shared" ref="F512:F514" si="194">E512*D512</f>
        <v>0</v>
      </c>
      <c r="G512" s="21"/>
      <c r="H512" s="21"/>
      <c r="I512" s="21"/>
      <c r="J512" s="21"/>
      <c r="K512" s="21">
        <f t="shared" si="188"/>
        <v>0</v>
      </c>
    </row>
    <row r="513" spans="1:11" x14ac:dyDescent="0.35">
      <c r="A513" s="183"/>
      <c r="B513" s="83" t="s">
        <v>154</v>
      </c>
      <c r="C513" s="119" t="s">
        <v>8</v>
      </c>
      <c r="D513" s="21">
        <v>30</v>
      </c>
      <c r="E513" s="21"/>
      <c r="F513" s="21">
        <f t="shared" si="194"/>
        <v>0</v>
      </c>
      <c r="G513" s="21"/>
      <c r="H513" s="21"/>
      <c r="I513" s="21"/>
      <c r="J513" s="21"/>
      <c r="K513" s="21">
        <f t="shared" si="188"/>
        <v>0</v>
      </c>
    </row>
    <row r="514" spans="1:11" x14ac:dyDescent="0.35">
      <c r="A514" s="184"/>
      <c r="B514" s="70" t="s">
        <v>26</v>
      </c>
      <c r="C514" s="119" t="s">
        <v>10</v>
      </c>
      <c r="D514" s="21">
        <f>D511*0.1</f>
        <v>5.5</v>
      </c>
      <c r="E514" s="21"/>
      <c r="F514" s="21">
        <f t="shared" si="194"/>
        <v>0</v>
      </c>
      <c r="G514" s="21"/>
      <c r="H514" s="21"/>
      <c r="I514" s="21"/>
      <c r="J514" s="21"/>
      <c r="K514" s="21">
        <f t="shared" si="188"/>
        <v>0</v>
      </c>
    </row>
    <row r="515" spans="1:11" ht="27" x14ac:dyDescent="0.35">
      <c r="A515" s="182">
        <v>21</v>
      </c>
      <c r="B515" s="32" t="s">
        <v>212</v>
      </c>
      <c r="C515" s="118" t="s">
        <v>8</v>
      </c>
      <c r="D515" s="60">
        <v>181</v>
      </c>
      <c r="E515" s="21"/>
      <c r="F515" s="114"/>
      <c r="G515" s="21"/>
      <c r="H515" s="114">
        <f t="shared" ref="H515" si="195">G515*D515</f>
        <v>0</v>
      </c>
      <c r="I515" s="21"/>
      <c r="J515" s="114">
        <f t="shared" ref="J515" si="196">I515*D515</f>
        <v>0</v>
      </c>
      <c r="K515" s="114">
        <f>J515+H515+F515</f>
        <v>0</v>
      </c>
    </row>
    <row r="516" spans="1:11" x14ac:dyDescent="0.35">
      <c r="A516" s="183"/>
      <c r="B516" s="28" t="s">
        <v>45</v>
      </c>
      <c r="C516" s="115" t="s">
        <v>11</v>
      </c>
      <c r="D516" s="114">
        <f>0.45*D515</f>
        <v>81.45</v>
      </c>
      <c r="E516" s="114"/>
      <c r="F516" s="114">
        <f t="shared" ref="F516:F523" si="197">E516*D516</f>
        <v>0</v>
      </c>
      <c r="G516" s="114"/>
      <c r="H516" s="114"/>
      <c r="I516" s="114"/>
      <c r="J516" s="114"/>
      <c r="K516" s="114">
        <f>J516+H516+F516</f>
        <v>0</v>
      </c>
    </row>
    <row r="517" spans="1:11" x14ac:dyDescent="0.35">
      <c r="A517" s="183"/>
      <c r="B517" s="28" t="s">
        <v>41</v>
      </c>
      <c r="C517" s="115" t="s">
        <v>8</v>
      </c>
      <c r="D517" s="30">
        <f>0.009*D515</f>
        <v>1.6289999999999998</v>
      </c>
      <c r="E517" s="114"/>
      <c r="F517" s="114">
        <f t="shared" si="197"/>
        <v>0</v>
      </c>
      <c r="G517" s="114"/>
      <c r="H517" s="114"/>
      <c r="I517" s="114"/>
      <c r="J517" s="114"/>
      <c r="K517" s="114">
        <f>J517+H517+F517</f>
        <v>0</v>
      </c>
    </row>
    <row r="518" spans="1:11" x14ac:dyDescent="0.35">
      <c r="A518" s="183"/>
      <c r="B518" s="29" t="s">
        <v>213</v>
      </c>
      <c r="C518" s="115" t="s">
        <v>11</v>
      </c>
      <c r="D518" s="114">
        <f>D515*0.4</f>
        <v>72.400000000000006</v>
      </c>
      <c r="E518" s="114"/>
      <c r="F518" s="114">
        <f t="shared" si="197"/>
        <v>0</v>
      </c>
      <c r="G518" s="114"/>
      <c r="I518" s="114"/>
      <c r="J518" s="114"/>
      <c r="K518" s="114">
        <f>J518+G518+F518</f>
        <v>0</v>
      </c>
    </row>
    <row r="519" spans="1:11" x14ac:dyDescent="0.35">
      <c r="A519" s="183"/>
      <c r="B519" s="29" t="s">
        <v>65</v>
      </c>
      <c r="C519" s="115" t="s">
        <v>11</v>
      </c>
      <c r="D519" s="114">
        <f>0.12*D515</f>
        <v>21.72</v>
      </c>
      <c r="E519" s="114"/>
      <c r="F519" s="114">
        <f t="shared" si="197"/>
        <v>0</v>
      </c>
      <c r="G519" s="114"/>
      <c r="H519" s="114"/>
      <c r="I519" s="114"/>
      <c r="J519" s="114"/>
      <c r="K519" s="114">
        <f t="shared" ref="K519:K523" si="198">J519+H519+F519</f>
        <v>0</v>
      </c>
    </row>
    <row r="520" spans="1:11" x14ac:dyDescent="0.35">
      <c r="A520" s="183"/>
      <c r="B520" s="3" t="s">
        <v>46</v>
      </c>
      <c r="C520" s="115" t="s">
        <v>9</v>
      </c>
      <c r="D520" s="114">
        <f>0.6*D515</f>
        <v>108.6</v>
      </c>
      <c r="E520" s="114"/>
      <c r="F520" s="114">
        <f t="shared" si="197"/>
        <v>0</v>
      </c>
      <c r="G520" s="114"/>
      <c r="H520" s="114"/>
      <c r="I520" s="114"/>
      <c r="J520" s="114"/>
      <c r="K520" s="114">
        <f t="shared" si="198"/>
        <v>0</v>
      </c>
    </row>
    <row r="521" spans="1:11" x14ac:dyDescent="0.35">
      <c r="A521" s="183"/>
      <c r="B521" s="44" t="s">
        <v>69</v>
      </c>
      <c r="C521" s="43" t="s">
        <v>19</v>
      </c>
      <c r="D521" s="116">
        <v>4</v>
      </c>
      <c r="E521" s="48"/>
      <c r="F521" s="116">
        <f t="shared" si="197"/>
        <v>0</v>
      </c>
      <c r="G521" s="40"/>
      <c r="H521" s="40"/>
      <c r="I521" s="40"/>
      <c r="J521" s="41"/>
      <c r="K521" s="114">
        <f t="shared" si="198"/>
        <v>0</v>
      </c>
    </row>
    <row r="522" spans="1:11" x14ac:dyDescent="0.35">
      <c r="A522" s="183"/>
      <c r="B522" s="3" t="s">
        <v>43</v>
      </c>
      <c r="C522" s="115" t="s">
        <v>9</v>
      </c>
      <c r="D522" s="114">
        <f>0.26*D515</f>
        <v>47.06</v>
      </c>
      <c r="E522" s="114"/>
      <c r="F522" s="114">
        <f t="shared" si="197"/>
        <v>0</v>
      </c>
      <c r="G522" s="114"/>
      <c r="H522" s="114"/>
      <c r="I522" s="114"/>
      <c r="J522" s="114"/>
      <c r="K522" s="114">
        <f t="shared" si="198"/>
        <v>0</v>
      </c>
    </row>
    <row r="523" spans="1:11" x14ac:dyDescent="0.35">
      <c r="A523" s="183"/>
      <c r="B523" s="3" t="s">
        <v>66</v>
      </c>
      <c r="C523" s="115" t="s">
        <v>10</v>
      </c>
      <c r="D523" s="114">
        <f>D515*0.03</f>
        <v>5.43</v>
      </c>
      <c r="E523" s="114"/>
      <c r="F523" s="114">
        <f t="shared" si="197"/>
        <v>0</v>
      </c>
      <c r="G523" s="114"/>
      <c r="H523" s="114"/>
      <c r="I523" s="114"/>
      <c r="J523" s="114"/>
      <c r="K523" s="114">
        <f t="shared" si="198"/>
        <v>0</v>
      </c>
    </row>
    <row r="524" spans="1:11" x14ac:dyDescent="0.35">
      <c r="A524" s="115"/>
      <c r="B524" s="127" t="s">
        <v>188</v>
      </c>
      <c r="C524" s="113"/>
      <c r="D524" s="120"/>
      <c r="E524" s="120"/>
      <c r="F524" s="120"/>
      <c r="G524" s="120"/>
      <c r="H524" s="120"/>
      <c r="I524" s="120"/>
      <c r="J524" s="120"/>
      <c r="K524" s="114"/>
    </row>
    <row r="525" spans="1:11" ht="27" x14ac:dyDescent="0.35">
      <c r="A525" s="172">
        <v>22</v>
      </c>
      <c r="B525" s="103" t="s">
        <v>209</v>
      </c>
      <c r="C525" s="118" t="s">
        <v>38</v>
      </c>
      <c r="D525" s="60">
        <v>1</v>
      </c>
      <c r="E525" s="21"/>
      <c r="F525" s="114">
        <f t="shared" ref="F525" si="199">E525*D525</f>
        <v>0</v>
      </c>
      <c r="G525" s="21"/>
      <c r="H525" s="114">
        <f t="shared" ref="H525" si="200">G525*D525</f>
        <v>0</v>
      </c>
      <c r="I525" s="21"/>
      <c r="J525" s="114">
        <f t="shared" ref="J525" si="201">I525*D525</f>
        <v>0</v>
      </c>
      <c r="K525" s="114">
        <f t="shared" ref="K525" si="202">J525+H525+F525</f>
        <v>0</v>
      </c>
    </row>
    <row r="526" spans="1:11" ht="27" x14ac:dyDescent="0.35">
      <c r="A526" s="172">
        <v>23</v>
      </c>
      <c r="B526" s="103" t="s">
        <v>186</v>
      </c>
      <c r="C526" s="118" t="s">
        <v>38</v>
      </c>
      <c r="D526" s="60">
        <v>1</v>
      </c>
      <c r="E526" s="21"/>
      <c r="F526" s="114">
        <f>E526*D526</f>
        <v>0</v>
      </c>
      <c r="G526" s="21"/>
      <c r="H526" s="114">
        <f>G526*D526</f>
        <v>0</v>
      </c>
      <c r="I526" s="21"/>
      <c r="J526" s="114">
        <f>I526*D526</f>
        <v>0</v>
      </c>
      <c r="K526" s="114">
        <f>J526+H526+F526</f>
        <v>0</v>
      </c>
    </row>
    <row r="527" spans="1:11" x14ac:dyDescent="0.35">
      <c r="A527" s="172">
        <v>24</v>
      </c>
      <c r="B527" s="103" t="s">
        <v>185</v>
      </c>
      <c r="C527" s="118" t="s">
        <v>38</v>
      </c>
      <c r="D527" s="60">
        <v>1</v>
      </c>
      <c r="E527" s="21"/>
      <c r="F527" s="114">
        <f>E527*D527</f>
        <v>0</v>
      </c>
      <c r="G527" s="21"/>
      <c r="H527" s="114">
        <f>G527*D527</f>
        <v>0</v>
      </c>
      <c r="I527" s="21"/>
      <c r="J527" s="114">
        <f>I527*D527</f>
        <v>0</v>
      </c>
      <c r="K527" s="114">
        <f>J527+H527+F527</f>
        <v>0</v>
      </c>
    </row>
    <row r="528" spans="1:11" x14ac:dyDescent="0.35">
      <c r="A528" s="172">
        <v>25</v>
      </c>
      <c r="B528" s="103" t="s">
        <v>170</v>
      </c>
      <c r="C528" s="118" t="s">
        <v>19</v>
      </c>
      <c r="D528" s="60">
        <v>1</v>
      </c>
      <c r="E528" s="21"/>
      <c r="F528" s="114">
        <f t="shared" ref="F528" si="203">E528*D528</f>
        <v>0</v>
      </c>
      <c r="G528" s="21"/>
      <c r="H528" s="114">
        <f t="shared" ref="H528" si="204">G528*D528</f>
        <v>0</v>
      </c>
      <c r="I528" s="21"/>
      <c r="J528" s="114"/>
      <c r="K528" s="114">
        <f t="shared" ref="K528" si="205">J528+H528+F528</f>
        <v>0</v>
      </c>
    </row>
    <row r="529" spans="1:11" ht="27" x14ac:dyDescent="0.35">
      <c r="A529" s="172">
        <v>26</v>
      </c>
      <c r="B529" s="103" t="s">
        <v>208</v>
      </c>
      <c r="C529" s="118" t="s">
        <v>9</v>
      </c>
      <c r="D529" s="60">
        <v>6</v>
      </c>
      <c r="E529" s="21"/>
      <c r="F529" s="114">
        <f>E529*D529</f>
        <v>0</v>
      </c>
      <c r="G529" s="21"/>
      <c r="H529" s="114">
        <f>G529*D529</f>
        <v>0</v>
      </c>
      <c r="I529" s="21"/>
      <c r="J529" s="114">
        <f>I529*D529</f>
        <v>0</v>
      </c>
      <c r="K529" s="114">
        <f>J529+H529+F529</f>
        <v>0</v>
      </c>
    </row>
    <row r="530" spans="1:11" x14ac:dyDescent="0.35">
      <c r="A530" s="203">
        <v>27</v>
      </c>
      <c r="B530" s="103" t="s">
        <v>152</v>
      </c>
      <c r="C530" s="118" t="s">
        <v>9</v>
      </c>
      <c r="D530" s="60">
        <v>8</v>
      </c>
      <c r="E530" s="21"/>
      <c r="F530" s="114">
        <f t="shared" ref="F530:F539" si="206">E530*D530</f>
        <v>0</v>
      </c>
      <c r="G530" s="21"/>
      <c r="H530" s="114">
        <f>G530*D530</f>
        <v>0</v>
      </c>
      <c r="I530" s="21"/>
      <c r="J530" s="114">
        <f>I530*D530</f>
        <v>0</v>
      </c>
      <c r="K530" s="114">
        <f t="shared" ref="K530:K537" si="207">J530+H530+F530</f>
        <v>0</v>
      </c>
    </row>
    <row r="531" spans="1:11" x14ac:dyDescent="0.35">
      <c r="A531" s="222"/>
      <c r="B531" s="101" t="s">
        <v>320</v>
      </c>
      <c r="C531" s="119" t="s">
        <v>19</v>
      </c>
      <c r="D531" s="21">
        <v>8</v>
      </c>
      <c r="E531" s="21"/>
      <c r="F531" s="114">
        <f t="shared" si="206"/>
        <v>0</v>
      </c>
      <c r="G531" s="21"/>
      <c r="H531" s="114"/>
      <c r="I531" s="21"/>
      <c r="J531" s="114"/>
      <c r="K531" s="114">
        <f t="shared" si="207"/>
        <v>0</v>
      </c>
    </row>
    <row r="532" spans="1:11" x14ac:dyDescent="0.35">
      <c r="A532" s="222"/>
      <c r="B532" s="101" t="s">
        <v>321</v>
      </c>
      <c r="C532" s="119" t="s">
        <v>19</v>
      </c>
      <c r="D532" s="21">
        <v>6</v>
      </c>
      <c r="E532" s="21"/>
      <c r="F532" s="114">
        <f t="shared" si="206"/>
        <v>0</v>
      </c>
      <c r="G532" s="21"/>
      <c r="H532" s="114"/>
      <c r="I532" s="21"/>
      <c r="J532" s="114"/>
      <c r="K532" s="114">
        <f t="shared" si="207"/>
        <v>0</v>
      </c>
    </row>
    <row r="533" spans="1:11" x14ac:dyDescent="0.35">
      <c r="A533" s="223"/>
      <c r="B533" s="101" t="s">
        <v>26</v>
      </c>
      <c r="D533" s="21">
        <f>(D529+D530)*0.1</f>
        <v>1.4000000000000001</v>
      </c>
      <c r="E533" s="21"/>
      <c r="F533" s="114">
        <f t="shared" si="206"/>
        <v>0</v>
      </c>
      <c r="G533" s="21"/>
      <c r="H533" s="114"/>
      <c r="I533" s="21"/>
      <c r="J533" s="114"/>
      <c r="K533" s="114">
        <f t="shared" si="207"/>
        <v>0</v>
      </c>
    </row>
    <row r="534" spans="1:11" ht="27" x14ac:dyDescent="0.35">
      <c r="A534" s="182">
        <v>28</v>
      </c>
      <c r="B534" s="103" t="s">
        <v>202</v>
      </c>
      <c r="C534" s="118" t="s">
        <v>9</v>
      </c>
      <c r="D534" s="60">
        <v>14</v>
      </c>
      <c r="E534" s="21"/>
      <c r="F534" s="114">
        <f t="shared" si="206"/>
        <v>0</v>
      </c>
      <c r="G534" s="21"/>
      <c r="H534" s="114">
        <f t="shared" ref="H534:H537" si="208">G534*D534</f>
        <v>0</v>
      </c>
      <c r="I534" s="21"/>
      <c r="J534" s="114">
        <f t="shared" ref="J534" si="209">I534*D534</f>
        <v>0</v>
      </c>
      <c r="K534" s="114">
        <f t="shared" si="207"/>
        <v>0</v>
      </c>
    </row>
    <row r="535" spans="1:11" x14ac:dyDescent="0.35">
      <c r="A535" s="183"/>
      <c r="B535" s="101" t="s">
        <v>178</v>
      </c>
      <c r="C535" s="119" t="s">
        <v>9</v>
      </c>
      <c r="D535" s="21">
        <v>20</v>
      </c>
      <c r="E535" s="21"/>
      <c r="F535" s="114">
        <f t="shared" si="206"/>
        <v>0</v>
      </c>
      <c r="G535" s="21"/>
      <c r="H535" s="114">
        <f t="shared" si="208"/>
        <v>0</v>
      </c>
      <c r="I535" s="21"/>
      <c r="J535" s="114"/>
      <c r="K535" s="114">
        <f t="shared" si="207"/>
        <v>0</v>
      </c>
    </row>
    <row r="536" spans="1:11" x14ac:dyDescent="0.35">
      <c r="A536" s="183"/>
      <c r="B536" s="101" t="s">
        <v>150</v>
      </c>
      <c r="C536" s="119" t="s">
        <v>38</v>
      </c>
      <c r="D536" s="21">
        <v>2</v>
      </c>
      <c r="E536" s="21"/>
      <c r="F536" s="114">
        <f t="shared" si="206"/>
        <v>0</v>
      </c>
      <c r="G536" s="21"/>
      <c r="H536" s="114">
        <f t="shared" si="208"/>
        <v>0</v>
      </c>
      <c r="I536" s="21"/>
      <c r="J536" s="114">
        <f t="shared" ref="J536" si="210">I536*D536</f>
        <v>0</v>
      </c>
      <c r="K536" s="114">
        <f t="shared" si="207"/>
        <v>0</v>
      </c>
    </row>
    <row r="537" spans="1:11" x14ac:dyDescent="0.35">
      <c r="A537" s="183"/>
      <c r="B537" s="101" t="s">
        <v>149</v>
      </c>
      <c r="C537" s="119" t="s">
        <v>38</v>
      </c>
      <c r="D537" s="21">
        <v>5</v>
      </c>
      <c r="E537" s="21"/>
      <c r="F537" s="114">
        <f t="shared" si="206"/>
        <v>0</v>
      </c>
      <c r="G537" s="21"/>
      <c r="H537" s="114">
        <f t="shared" si="208"/>
        <v>0</v>
      </c>
      <c r="I537" s="21"/>
      <c r="J537" s="114"/>
      <c r="K537" s="114">
        <f t="shared" si="207"/>
        <v>0</v>
      </c>
    </row>
    <row r="538" spans="1:11" x14ac:dyDescent="0.35">
      <c r="A538" s="183"/>
      <c r="B538" s="101" t="s">
        <v>151</v>
      </c>
      <c r="C538" s="119" t="s">
        <v>38</v>
      </c>
      <c r="D538" s="21">
        <v>16</v>
      </c>
      <c r="E538" s="21"/>
      <c r="F538" s="114">
        <f t="shared" si="206"/>
        <v>0</v>
      </c>
      <c r="G538" s="21"/>
      <c r="H538" s="114"/>
      <c r="I538" s="21"/>
      <c r="J538" s="114"/>
      <c r="K538" s="114">
        <f>J538+H538+F538</f>
        <v>0</v>
      </c>
    </row>
    <row r="539" spans="1:11" x14ac:dyDescent="0.35">
      <c r="A539" s="184"/>
      <c r="B539" s="35" t="s">
        <v>26</v>
      </c>
      <c r="C539" s="119" t="s">
        <v>10</v>
      </c>
      <c r="D539" s="114">
        <v>9</v>
      </c>
      <c r="E539" s="114"/>
      <c r="F539" s="114">
        <f t="shared" si="206"/>
        <v>0</v>
      </c>
      <c r="G539" s="114"/>
      <c r="H539" s="114"/>
      <c r="I539" s="114"/>
      <c r="J539" s="114"/>
      <c r="K539" s="40">
        <f>J539+H539+F539</f>
        <v>0</v>
      </c>
    </row>
    <row r="540" spans="1:11" x14ac:dyDescent="0.35">
      <c r="A540" s="152"/>
      <c r="B540" s="127" t="s">
        <v>187</v>
      </c>
      <c r="C540" s="119"/>
      <c r="D540" s="114"/>
      <c r="E540" s="114"/>
      <c r="F540" s="114"/>
      <c r="G540" s="114"/>
      <c r="H540" s="114"/>
      <c r="I540" s="114"/>
      <c r="J540" s="114"/>
      <c r="K540" s="40"/>
    </row>
    <row r="541" spans="1:11" ht="27" x14ac:dyDescent="0.35">
      <c r="A541" s="185">
        <v>29</v>
      </c>
      <c r="B541" s="117" t="s">
        <v>210</v>
      </c>
      <c r="C541" s="118" t="s">
        <v>38</v>
      </c>
      <c r="D541" s="60">
        <v>10</v>
      </c>
      <c r="E541" s="84"/>
      <c r="F541" s="120"/>
      <c r="G541" s="120"/>
      <c r="H541" s="120">
        <f t="shared" ref="H541" si="211">G541*D541</f>
        <v>0</v>
      </c>
      <c r="I541" s="120"/>
      <c r="J541" s="120">
        <f t="shared" ref="J541" si="212">I541*D541</f>
        <v>0</v>
      </c>
      <c r="K541" s="120">
        <f>J541+H541+F541</f>
        <v>0</v>
      </c>
    </row>
    <row r="542" spans="1:11" ht="40.5" x14ac:dyDescent="0.35">
      <c r="A542" s="186"/>
      <c r="B542" s="83" t="s">
        <v>189</v>
      </c>
      <c r="C542" s="115" t="s">
        <v>38</v>
      </c>
      <c r="D542" s="114">
        <v>5</v>
      </c>
      <c r="E542" s="84"/>
      <c r="F542" s="114">
        <f t="shared" ref="F542:F549" si="213">E542*D542</f>
        <v>0</v>
      </c>
      <c r="G542" s="84"/>
      <c r="H542" s="114"/>
      <c r="I542" s="84"/>
      <c r="J542" s="114"/>
      <c r="K542" s="114">
        <f>J542+H542+F542</f>
        <v>0</v>
      </c>
    </row>
    <row r="543" spans="1:11" ht="27" x14ac:dyDescent="0.35">
      <c r="A543" s="171">
        <v>30</v>
      </c>
      <c r="B543" s="106" t="s">
        <v>167</v>
      </c>
      <c r="C543" s="107" t="s">
        <v>166</v>
      </c>
      <c r="D543" s="109">
        <v>1</v>
      </c>
      <c r="E543" s="108"/>
      <c r="F543" s="114">
        <f t="shared" si="213"/>
        <v>0</v>
      </c>
      <c r="G543" s="21"/>
      <c r="H543" s="114">
        <f t="shared" ref="H543:H548" si="214">G543*D543</f>
        <v>0</v>
      </c>
      <c r="I543" s="21"/>
      <c r="J543" s="114">
        <f t="shared" ref="J543:J548" si="215">I543*D543</f>
        <v>0</v>
      </c>
      <c r="K543" s="114">
        <f t="shared" ref="K543:K549" si="216">J543+H543+F543</f>
        <v>0</v>
      </c>
    </row>
    <row r="544" spans="1:11" x14ac:dyDescent="0.35">
      <c r="A544" s="171">
        <v>31</v>
      </c>
      <c r="B544" s="44" t="s">
        <v>177</v>
      </c>
      <c r="C544" s="43" t="s">
        <v>19</v>
      </c>
      <c r="D544" s="116">
        <v>1</v>
      </c>
      <c r="E544" s="116"/>
      <c r="F544" s="116">
        <f t="shared" si="213"/>
        <v>0</v>
      </c>
      <c r="G544" s="116"/>
      <c r="H544" s="40">
        <f t="shared" si="214"/>
        <v>0</v>
      </c>
      <c r="I544" s="116"/>
      <c r="J544" s="41">
        <f t="shared" si="215"/>
        <v>0</v>
      </c>
      <c r="K544" s="40">
        <f t="shared" si="216"/>
        <v>0</v>
      </c>
    </row>
    <row r="545" spans="1:11" ht="27" x14ac:dyDescent="0.35">
      <c r="A545" s="171">
        <v>32</v>
      </c>
      <c r="B545" s="7" t="s">
        <v>86</v>
      </c>
      <c r="C545" s="85" t="s">
        <v>9</v>
      </c>
      <c r="D545" s="84">
        <v>45</v>
      </c>
      <c r="E545" s="114"/>
      <c r="F545" s="114">
        <f t="shared" si="213"/>
        <v>0</v>
      </c>
      <c r="G545" s="114"/>
      <c r="H545" s="114">
        <f t="shared" si="214"/>
        <v>0</v>
      </c>
      <c r="I545" s="114"/>
      <c r="J545" s="114">
        <f t="shared" si="215"/>
        <v>0</v>
      </c>
      <c r="K545" s="114">
        <f t="shared" si="216"/>
        <v>0</v>
      </c>
    </row>
    <row r="546" spans="1:11" ht="27" x14ac:dyDescent="0.35">
      <c r="A546" s="171">
        <v>33</v>
      </c>
      <c r="B546" s="7" t="s">
        <v>24</v>
      </c>
      <c r="C546" s="115" t="s">
        <v>9</v>
      </c>
      <c r="D546" s="114">
        <v>70</v>
      </c>
      <c r="E546" s="114"/>
      <c r="F546" s="114">
        <f t="shared" si="213"/>
        <v>0</v>
      </c>
      <c r="G546" s="114"/>
      <c r="H546" s="114">
        <f t="shared" si="214"/>
        <v>0</v>
      </c>
      <c r="I546" s="114"/>
      <c r="J546" s="114">
        <f t="shared" si="215"/>
        <v>0</v>
      </c>
      <c r="K546" s="114">
        <f t="shared" si="216"/>
        <v>0</v>
      </c>
    </row>
    <row r="547" spans="1:11" x14ac:dyDescent="0.35">
      <c r="A547" s="171">
        <v>34</v>
      </c>
      <c r="B547" s="86" t="s">
        <v>87</v>
      </c>
      <c r="C547" s="43" t="s">
        <v>19</v>
      </c>
      <c r="D547" s="116">
        <v>12</v>
      </c>
      <c r="E547" s="116"/>
      <c r="F547" s="120">
        <f t="shared" si="213"/>
        <v>0</v>
      </c>
      <c r="G547" s="116"/>
      <c r="H547" s="120">
        <f t="shared" si="214"/>
        <v>0</v>
      </c>
      <c r="I547" s="116"/>
      <c r="J547" s="120">
        <f t="shared" si="215"/>
        <v>0</v>
      </c>
      <c r="K547" s="114">
        <f t="shared" si="216"/>
        <v>0</v>
      </c>
    </row>
    <row r="548" spans="1:11" x14ac:dyDescent="0.35">
      <c r="A548" s="185">
        <v>35</v>
      </c>
      <c r="B548" s="7" t="s">
        <v>25</v>
      </c>
      <c r="C548" s="115" t="s">
        <v>19</v>
      </c>
      <c r="D548" s="114">
        <v>3</v>
      </c>
      <c r="E548" s="114"/>
      <c r="F548" s="120">
        <f t="shared" si="213"/>
        <v>0</v>
      </c>
      <c r="G548" s="114"/>
      <c r="H548" s="120">
        <f t="shared" si="214"/>
        <v>0</v>
      </c>
      <c r="I548" s="114"/>
      <c r="J548" s="120">
        <f t="shared" si="215"/>
        <v>0</v>
      </c>
      <c r="K548" s="114">
        <f t="shared" si="216"/>
        <v>0</v>
      </c>
    </row>
    <row r="549" spans="1:11" x14ac:dyDescent="0.35">
      <c r="A549" s="186"/>
      <c r="B549" s="35" t="s">
        <v>168</v>
      </c>
      <c r="C549" s="119" t="s">
        <v>10</v>
      </c>
      <c r="D549" s="114">
        <v>12</v>
      </c>
      <c r="E549" s="114"/>
      <c r="F549" s="120">
        <f t="shared" si="213"/>
        <v>0</v>
      </c>
      <c r="G549" s="114"/>
      <c r="H549" s="114"/>
      <c r="I549" s="114"/>
      <c r="J549" s="114"/>
      <c r="K549" s="114">
        <f t="shared" si="216"/>
        <v>0</v>
      </c>
    </row>
    <row r="550" spans="1:11" x14ac:dyDescent="0.35">
      <c r="A550" s="118"/>
      <c r="B550" s="9" t="s">
        <v>6</v>
      </c>
      <c r="C550" s="9"/>
      <c r="D550" s="9"/>
      <c r="E550" s="9"/>
      <c r="F550" s="27">
        <f>SUM(F12:F549)</f>
        <v>0</v>
      </c>
      <c r="G550" s="27"/>
      <c r="H550" s="27">
        <f>SUM(H12:H549)</f>
        <v>0</v>
      </c>
      <c r="I550" s="27"/>
      <c r="J550" s="27">
        <f>SUM(J12:J549)</f>
        <v>0</v>
      </c>
      <c r="K550" s="27">
        <f>SUM(K12:K549)</f>
        <v>0</v>
      </c>
    </row>
    <row r="551" spans="1:11" x14ac:dyDescent="0.35">
      <c r="A551" s="115"/>
      <c r="B551" s="10" t="s">
        <v>12</v>
      </c>
      <c r="C551" s="58" t="s">
        <v>371</v>
      </c>
      <c r="D551" s="116"/>
      <c r="E551" s="11"/>
      <c r="F551" s="116"/>
      <c r="G551" s="116"/>
      <c r="H551" s="116"/>
      <c r="I551" s="116"/>
      <c r="J551" s="11"/>
      <c r="K551" s="26" t="e">
        <f>F550*C551</f>
        <v>#VALUE!</v>
      </c>
    </row>
    <row r="552" spans="1:11" x14ac:dyDescent="0.35">
      <c r="A552" s="115"/>
      <c r="B552" s="13" t="s">
        <v>6</v>
      </c>
      <c r="C552" s="11"/>
      <c r="D552" s="116"/>
      <c r="E552" s="11"/>
      <c r="F552" s="11"/>
      <c r="G552" s="116"/>
      <c r="H552" s="116"/>
      <c r="I552" s="116"/>
      <c r="J552" s="11"/>
      <c r="K552" s="26" t="e">
        <f>K551+K550</f>
        <v>#VALUE!</v>
      </c>
    </row>
    <row r="553" spans="1:11" x14ac:dyDescent="0.35">
      <c r="A553" s="115"/>
      <c r="B553" s="10" t="s">
        <v>13</v>
      </c>
      <c r="C553" s="58" t="s">
        <v>371</v>
      </c>
      <c r="D553" s="116"/>
      <c r="E553" s="11"/>
      <c r="F553" s="11"/>
      <c r="G553" s="116"/>
      <c r="H553" s="116"/>
      <c r="I553" s="116"/>
      <c r="J553" s="11"/>
      <c r="K553" s="26" t="e">
        <f>K552*C553</f>
        <v>#VALUE!</v>
      </c>
    </row>
    <row r="554" spans="1:11" x14ac:dyDescent="0.35">
      <c r="A554" s="115"/>
      <c r="B554" s="13" t="s">
        <v>6</v>
      </c>
      <c r="C554" s="11"/>
      <c r="D554" s="116"/>
      <c r="E554" s="11"/>
      <c r="F554" s="11"/>
      <c r="G554" s="116"/>
      <c r="H554" s="116"/>
      <c r="I554" s="116"/>
      <c r="J554" s="11"/>
      <c r="K554" s="26" t="e">
        <f>SUM(K552:K553)</f>
        <v>#VALUE!</v>
      </c>
    </row>
    <row r="555" spans="1:11" x14ac:dyDescent="0.35">
      <c r="A555" s="115"/>
      <c r="B555" s="10" t="s">
        <v>14</v>
      </c>
      <c r="C555" s="58" t="s">
        <v>371</v>
      </c>
      <c r="D555" s="116"/>
      <c r="E555" s="11"/>
      <c r="F555" s="11"/>
      <c r="G555" s="116"/>
      <c r="H555" s="116"/>
      <c r="I555" s="116"/>
      <c r="J555" s="11"/>
      <c r="K555" s="26" t="e">
        <f>K554*C555</f>
        <v>#VALUE!</v>
      </c>
    </row>
    <row r="556" spans="1:11" x14ac:dyDescent="0.35">
      <c r="A556" s="115"/>
      <c r="B556" s="13" t="s">
        <v>6</v>
      </c>
      <c r="C556" s="11"/>
      <c r="D556" s="116"/>
      <c r="E556" s="11"/>
      <c r="F556" s="11"/>
      <c r="G556" s="116"/>
      <c r="H556" s="116"/>
      <c r="I556" s="116"/>
      <c r="J556" s="11"/>
      <c r="K556" s="26" t="e">
        <f>SUM(K554:K555)</f>
        <v>#VALUE!</v>
      </c>
    </row>
    <row r="557" spans="1:11" x14ac:dyDescent="0.35">
      <c r="A557" s="115"/>
      <c r="B557" s="10" t="s">
        <v>17</v>
      </c>
      <c r="C557" s="58" t="s">
        <v>371</v>
      </c>
      <c r="D557" s="116"/>
      <c r="E557" s="11"/>
      <c r="F557" s="11"/>
      <c r="G557" s="116"/>
      <c r="H557" s="116"/>
      <c r="I557" s="116"/>
      <c r="J557" s="11"/>
      <c r="K557" s="26" t="e">
        <f>K556*C557</f>
        <v>#VALUE!</v>
      </c>
    </row>
    <row r="558" spans="1:11" x14ac:dyDescent="0.35">
      <c r="A558" s="115"/>
      <c r="B558" s="10" t="s">
        <v>20</v>
      </c>
      <c r="C558" s="58" t="s">
        <v>371</v>
      </c>
      <c r="D558" s="116"/>
      <c r="E558" s="11"/>
      <c r="F558" s="11"/>
      <c r="G558" s="116"/>
      <c r="H558" s="116"/>
      <c r="I558" s="116"/>
      <c r="J558" s="11"/>
      <c r="K558" s="26" t="e">
        <f>H550*C558</f>
        <v>#VALUE!</v>
      </c>
    </row>
    <row r="559" spans="1:11" x14ac:dyDescent="0.35">
      <c r="A559" s="115"/>
      <c r="B559" s="13" t="s">
        <v>6</v>
      </c>
      <c r="C559" s="11"/>
      <c r="D559" s="116"/>
      <c r="E559" s="11"/>
      <c r="F559" s="11"/>
      <c r="G559" s="116"/>
      <c r="H559" s="116"/>
      <c r="I559" s="116"/>
      <c r="J559" s="11"/>
      <c r="K559" s="26" t="e">
        <f>K558+K557+K556</f>
        <v>#VALUE!</v>
      </c>
    </row>
    <row r="560" spans="1:11" x14ac:dyDescent="0.35">
      <c r="A560" s="115"/>
      <c r="B560" s="6" t="s">
        <v>15</v>
      </c>
      <c r="C560" s="58">
        <v>0.18</v>
      </c>
      <c r="D560" s="116"/>
      <c r="E560" s="11"/>
      <c r="F560" s="11"/>
      <c r="G560" s="11"/>
      <c r="H560" s="11"/>
      <c r="I560" s="11"/>
      <c r="J560" s="11"/>
      <c r="K560" s="26" t="e">
        <f>K559*C560</f>
        <v>#VALUE!</v>
      </c>
    </row>
    <row r="561" spans="1:11" x14ac:dyDescent="0.35">
      <c r="A561" s="115"/>
      <c r="B561" s="9" t="s">
        <v>16</v>
      </c>
      <c r="C561" s="113"/>
      <c r="D561" s="115"/>
      <c r="E561" s="115"/>
      <c r="F561" s="115"/>
      <c r="G561" s="115"/>
      <c r="H561" s="115"/>
      <c r="I561" s="115"/>
      <c r="J561" s="115"/>
      <c r="K561" s="20" t="e">
        <f>K560+K559</f>
        <v>#VALUE!</v>
      </c>
    </row>
  </sheetData>
  <mergeCells count="99">
    <mergeCell ref="A487:A492"/>
    <mergeCell ref="A530:A533"/>
    <mergeCell ref="A41:A43"/>
    <mergeCell ref="A44:A49"/>
    <mergeCell ref="A60:A65"/>
    <mergeCell ref="A66:A69"/>
    <mergeCell ref="A72:A75"/>
    <mergeCell ref="A159:A161"/>
    <mergeCell ref="A83:A88"/>
    <mergeCell ref="A89:A94"/>
    <mergeCell ref="A95:A98"/>
    <mergeCell ref="A99:A102"/>
    <mergeCell ref="A103:A110"/>
    <mergeCell ref="A111:A115"/>
    <mergeCell ref="A126:A130"/>
    <mergeCell ref="A134:A135"/>
    <mergeCell ref="B1:I1"/>
    <mergeCell ref="J1:K1"/>
    <mergeCell ref="B2:K2"/>
    <mergeCell ref="B3:K3"/>
    <mergeCell ref="F5:H5"/>
    <mergeCell ref="I5:J5"/>
    <mergeCell ref="A39:A40"/>
    <mergeCell ref="A6:A7"/>
    <mergeCell ref="B6:B7"/>
    <mergeCell ref="C6:C7"/>
    <mergeCell ref="D6:D7"/>
    <mergeCell ref="I6:J6"/>
    <mergeCell ref="K6:K7"/>
    <mergeCell ref="A13:A18"/>
    <mergeCell ref="A23:A26"/>
    <mergeCell ref="A28:A34"/>
    <mergeCell ref="E6:F6"/>
    <mergeCell ref="G6:H6"/>
    <mergeCell ref="A142:A143"/>
    <mergeCell ref="A150:A154"/>
    <mergeCell ref="A156:A158"/>
    <mergeCell ref="A77:A82"/>
    <mergeCell ref="A122:A124"/>
    <mergeCell ref="A250:A254"/>
    <mergeCell ref="A163:A171"/>
    <mergeCell ref="A177:A180"/>
    <mergeCell ref="A182:A183"/>
    <mergeCell ref="A187:A188"/>
    <mergeCell ref="A194:A197"/>
    <mergeCell ref="A198:A204"/>
    <mergeCell ref="A205:A213"/>
    <mergeCell ref="A229:A234"/>
    <mergeCell ref="A236:A239"/>
    <mergeCell ref="A241:A244"/>
    <mergeCell ref="A245:A249"/>
    <mergeCell ref="A313:A321"/>
    <mergeCell ref="A255:A260"/>
    <mergeCell ref="A261:A265"/>
    <mergeCell ref="A266:A270"/>
    <mergeCell ref="A271:A275"/>
    <mergeCell ref="A276:A279"/>
    <mergeCell ref="A282:A285"/>
    <mergeCell ref="A286:A289"/>
    <mergeCell ref="A290:A293"/>
    <mergeCell ref="A295:A300"/>
    <mergeCell ref="A301:A306"/>
    <mergeCell ref="A307:A312"/>
    <mergeCell ref="A401:A405"/>
    <mergeCell ref="A330:A332"/>
    <mergeCell ref="A334:A338"/>
    <mergeCell ref="A345:A346"/>
    <mergeCell ref="A353:A354"/>
    <mergeCell ref="A364:A369"/>
    <mergeCell ref="A370:A375"/>
    <mergeCell ref="A377:A381"/>
    <mergeCell ref="A382:A385"/>
    <mergeCell ref="A386:A389"/>
    <mergeCell ref="A390:A394"/>
    <mergeCell ref="A395:A399"/>
    <mergeCell ref="A463:A464"/>
    <mergeCell ref="A468:A469"/>
    <mergeCell ref="A406:A409"/>
    <mergeCell ref="A410:A414"/>
    <mergeCell ref="A415:A420"/>
    <mergeCell ref="A421:A424"/>
    <mergeCell ref="A426:A428"/>
    <mergeCell ref="A429:A431"/>
    <mergeCell ref="A534:A539"/>
    <mergeCell ref="A541:A542"/>
    <mergeCell ref="A548:A549"/>
    <mergeCell ref="A4:B4"/>
    <mergeCell ref="C4:E4"/>
    <mergeCell ref="A5:E5"/>
    <mergeCell ref="A483:A486"/>
    <mergeCell ref="A494:A499"/>
    <mergeCell ref="A500:A504"/>
    <mergeCell ref="A505:A509"/>
    <mergeCell ref="A511:A514"/>
    <mergeCell ref="A515:A523"/>
    <mergeCell ref="A432:A440"/>
    <mergeCell ref="A441:A444"/>
    <mergeCell ref="A445:A450"/>
    <mergeCell ref="A455:A460"/>
  </mergeCells>
  <conditionalFormatting sqref="D136:D137">
    <cfRule type="cellIs" dxfId="2" priority="3" operator="equal">
      <formula>0</formula>
    </cfRule>
  </conditionalFormatting>
  <conditionalFormatting sqref="D543:D544">
    <cfRule type="cellIs" dxfId="1" priority="2" operator="equal">
      <formula>0</formula>
    </cfRule>
  </conditionalFormatting>
  <conditionalFormatting sqref="D347:D348">
    <cfRule type="cellIs" dxfId="0" priority="1" operator="equal">
      <formula>0</formula>
    </cfRule>
  </conditionalFormatting>
  <pageMargins left="0.45" right="0.45" top="0.5" bottom="0.5" header="0.3" footer="0.3"/>
  <pageSetup scale="81" orientation="landscape" horizontalDpi="0" verticalDpi="0" r:id="rId1"/>
  <ignoredErrors>
    <ignoredError sqref="K554:K5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565BA-9725-4B2A-B372-34ED2B5E8C40}">
  <sheetPr>
    <tabColor rgb="FF92D050"/>
  </sheetPr>
  <dimension ref="A1:K45"/>
  <sheetViews>
    <sheetView zoomScaleNormal="100" workbookViewId="0">
      <selection activeCell="A4" sqref="A4:B4"/>
    </sheetView>
  </sheetViews>
  <sheetFormatPr defaultRowHeight="14.5" x14ac:dyDescent="0.35"/>
  <cols>
    <col min="1" max="1" width="4.36328125" customWidth="1"/>
    <col min="2" max="2" width="65.54296875" customWidth="1"/>
    <col min="5" max="5" width="8.54296875" customWidth="1"/>
    <col min="6" max="6" width="10.453125" customWidth="1"/>
    <col min="7" max="7" width="8" customWidth="1"/>
    <col min="8" max="8" width="10.6328125" customWidth="1"/>
    <col min="9" max="9" width="7.54296875" customWidth="1"/>
    <col min="10" max="10" width="10.36328125" customWidth="1"/>
    <col min="11" max="11" width="13.453125" customWidth="1"/>
  </cols>
  <sheetData>
    <row r="1" spans="1:11" ht="23.25" customHeight="1" x14ac:dyDescent="0.4">
      <c r="A1" s="1"/>
      <c r="B1" s="215" t="s">
        <v>73</v>
      </c>
      <c r="C1" s="215"/>
      <c r="D1" s="215"/>
      <c r="E1" s="215"/>
      <c r="F1" s="215"/>
      <c r="G1" s="215"/>
      <c r="H1" s="215"/>
      <c r="I1" s="215"/>
      <c r="J1" s="228"/>
      <c r="K1" s="228"/>
    </row>
    <row r="2" spans="1:11" s="112" customFormat="1" ht="23.25" customHeight="1" x14ac:dyDescent="0.35">
      <c r="A2" s="1"/>
      <c r="B2" s="217" t="s">
        <v>79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" customHeight="1" x14ac:dyDescent="0.35">
      <c r="A3" s="15"/>
      <c r="B3" s="217" t="s">
        <v>362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6" customHeight="1" x14ac:dyDescent="0.35">
      <c r="A4" s="187" t="s">
        <v>372</v>
      </c>
      <c r="B4" s="187"/>
      <c r="C4" s="188"/>
      <c r="D4" s="188"/>
      <c r="E4" s="188"/>
      <c r="F4" s="188"/>
      <c r="G4" s="173"/>
      <c r="H4" s="173"/>
      <c r="I4" s="173"/>
      <c r="J4" s="173"/>
      <c r="K4" s="173"/>
    </row>
    <row r="5" spans="1:11" ht="18" customHeight="1" x14ac:dyDescent="0.35">
      <c r="A5" s="189" t="s">
        <v>363</v>
      </c>
      <c r="B5" s="189"/>
      <c r="C5" s="189"/>
      <c r="D5" s="189"/>
      <c r="E5" s="189"/>
      <c r="F5" s="219" t="s">
        <v>22</v>
      </c>
      <c r="G5" s="219"/>
      <c r="H5" s="219"/>
      <c r="I5" s="220" t="e">
        <f>K45</f>
        <v>#VALUE!</v>
      </c>
      <c r="J5" s="221"/>
      <c r="K5" s="16" t="s">
        <v>10</v>
      </c>
    </row>
    <row r="6" spans="1:11" ht="30" customHeight="1" x14ac:dyDescent="0.35">
      <c r="A6" s="209" t="s">
        <v>18</v>
      </c>
      <c r="B6" s="209" t="s">
        <v>0</v>
      </c>
      <c r="C6" s="209" t="s">
        <v>1</v>
      </c>
      <c r="D6" s="213" t="s">
        <v>2</v>
      </c>
      <c r="E6" s="211" t="s">
        <v>3</v>
      </c>
      <c r="F6" s="212"/>
      <c r="G6" s="211" t="s">
        <v>4</v>
      </c>
      <c r="H6" s="212"/>
      <c r="I6" s="207" t="s">
        <v>5</v>
      </c>
      <c r="J6" s="208"/>
      <c r="K6" s="209" t="s">
        <v>6</v>
      </c>
    </row>
    <row r="7" spans="1:11" ht="27" x14ac:dyDescent="0.35">
      <c r="A7" s="210"/>
      <c r="B7" s="210"/>
      <c r="C7" s="210"/>
      <c r="D7" s="214"/>
      <c r="E7" s="11" t="s">
        <v>7</v>
      </c>
      <c r="F7" s="11" t="s">
        <v>6</v>
      </c>
      <c r="G7" s="11" t="s">
        <v>7</v>
      </c>
      <c r="H7" s="11" t="s">
        <v>6</v>
      </c>
      <c r="I7" s="11" t="s">
        <v>7</v>
      </c>
      <c r="J7" s="11" t="s">
        <v>6</v>
      </c>
      <c r="K7" s="210"/>
    </row>
    <row r="8" spans="1:11" x14ac:dyDescent="0.35">
      <c r="A8" s="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20.149999999999999" customHeight="1" x14ac:dyDescent="0.35">
      <c r="A9" s="128"/>
      <c r="B9" s="146" t="s">
        <v>219</v>
      </c>
      <c r="C9" s="129"/>
      <c r="D9" s="138"/>
      <c r="E9" s="138"/>
      <c r="F9" s="138"/>
      <c r="G9" s="138"/>
      <c r="H9" s="138"/>
      <c r="I9" s="138"/>
      <c r="J9" s="138"/>
      <c r="K9" s="147"/>
    </row>
    <row r="10" spans="1:11" ht="27" x14ac:dyDescent="0.35">
      <c r="A10" s="225">
        <v>21</v>
      </c>
      <c r="B10" s="32" t="s">
        <v>344</v>
      </c>
      <c r="C10" s="33" t="s">
        <v>8</v>
      </c>
      <c r="D10" s="60">
        <v>306</v>
      </c>
      <c r="E10" s="21"/>
      <c r="F10" s="24"/>
      <c r="G10" s="21"/>
      <c r="H10" s="4">
        <f t="shared" ref="H10:H19" si="0">G10*D10</f>
        <v>0</v>
      </c>
      <c r="I10" s="21"/>
      <c r="J10" s="4">
        <f t="shared" ref="J10:J19" si="1">I10*D10</f>
        <v>0</v>
      </c>
      <c r="K10" s="4">
        <f t="shared" ref="K10:K20" si="2">J10+H10+F10</f>
        <v>0</v>
      </c>
    </row>
    <row r="11" spans="1:11" x14ac:dyDescent="0.35">
      <c r="A11" s="226"/>
      <c r="B11" s="44" t="s">
        <v>39</v>
      </c>
      <c r="C11" s="43" t="s">
        <v>11</v>
      </c>
      <c r="D11" s="40">
        <f>0.45*D10</f>
        <v>137.70000000000002</v>
      </c>
      <c r="E11" s="48"/>
      <c r="F11" s="24">
        <f t="shared" ref="F11:F21" si="3">E11*D11</f>
        <v>0</v>
      </c>
      <c r="G11" s="40"/>
      <c r="H11" s="24"/>
      <c r="I11" s="40"/>
      <c r="J11" s="24"/>
      <c r="K11" s="4">
        <f t="shared" si="2"/>
        <v>0</v>
      </c>
    </row>
    <row r="12" spans="1:11" x14ac:dyDescent="0.35">
      <c r="A12" s="226"/>
      <c r="B12" s="29" t="s">
        <v>213</v>
      </c>
      <c r="C12" s="43" t="s">
        <v>11</v>
      </c>
      <c r="D12" s="12">
        <f>0.4*D10</f>
        <v>122.4</v>
      </c>
      <c r="E12" s="48"/>
      <c r="F12" s="24">
        <f t="shared" si="3"/>
        <v>0</v>
      </c>
      <c r="G12" s="40"/>
      <c r="H12" s="24"/>
      <c r="I12" s="40"/>
      <c r="J12" s="24"/>
      <c r="K12" s="4">
        <f t="shared" si="2"/>
        <v>0</v>
      </c>
    </row>
    <row r="13" spans="1:11" x14ac:dyDescent="0.35">
      <c r="A13" s="226"/>
      <c r="B13" s="44" t="s">
        <v>40</v>
      </c>
      <c r="C13" s="43" t="s">
        <v>11</v>
      </c>
      <c r="D13" s="12">
        <f>0.15*D10</f>
        <v>45.9</v>
      </c>
      <c r="E13" s="48"/>
      <c r="F13" s="24">
        <f t="shared" si="3"/>
        <v>0</v>
      </c>
      <c r="G13" s="40"/>
      <c r="H13" s="24"/>
      <c r="I13" s="40"/>
      <c r="J13" s="24"/>
      <c r="K13" s="4">
        <f t="shared" si="2"/>
        <v>0</v>
      </c>
    </row>
    <row r="14" spans="1:11" x14ac:dyDescent="0.35">
      <c r="A14" s="226"/>
      <c r="B14" s="44" t="s">
        <v>41</v>
      </c>
      <c r="C14" s="43" t="s">
        <v>8</v>
      </c>
      <c r="D14" s="12">
        <f>0.009*D10</f>
        <v>2.754</v>
      </c>
      <c r="E14" s="48"/>
      <c r="F14" s="24">
        <f t="shared" si="3"/>
        <v>0</v>
      </c>
      <c r="G14" s="40"/>
      <c r="H14" s="24"/>
      <c r="I14" s="40"/>
      <c r="J14" s="24"/>
      <c r="K14" s="4">
        <f t="shared" si="2"/>
        <v>0</v>
      </c>
    </row>
    <row r="15" spans="1:11" x14ac:dyDescent="0.35">
      <c r="A15" s="226"/>
      <c r="B15" s="44" t="s">
        <v>42</v>
      </c>
      <c r="C15" s="43" t="s">
        <v>9</v>
      </c>
      <c r="D15" s="12">
        <f>0.4*D10</f>
        <v>122.4</v>
      </c>
      <c r="E15" s="48"/>
      <c r="F15" s="24">
        <f t="shared" si="3"/>
        <v>0</v>
      </c>
      <c r="G15" s="40"/>
      <c r="H15" s="24"/>
      <c r="I15" s="40"/>
      <c r="J15" s="24"/>
      <c r="K15" s="4">
        <f t="shared" si="2"/>
        <v>0</v>
      </c>
    </row>
    <row r="16" spans="1:11" x14ac:dyDescent="0.35">
      <c r="A16" s="226"/>
      <c r="B16" s="44" t="s">
        <v>69</v>
      </c>
      <c r="C16" s="43" t="s">
        <v>19</v>
      </c>
      <c r="D16" s="12">
        <v>4</v>
      </c>
      <c r="E16" s="48"/>
      <c r="F16" s="24">
        <f t="shared" si="3"/>
        <v>0</v>
      </c>
      <c r="G16" s="40"/>
      <c r="H16" s="24"/>
      <c r="I16" s="40"/>
      <c r="J16" s="24"/>
      <c r="K16" s="4">
        <f t="shared" si="2"/>
        <v>0</v>
      </c>
    </row>
    <row r="17" spans="1:11" x14ac:dyDescent="0.35">
      <c r="A17" s="226"/>
      <c r="B17" s="44" t="s">
        <v>43</v>
      </c>
      <c r="C17" s="43" t="s">
        <v>9</v>
      </c>
      <c r="D17" s="12">
        <f>0.3*D10</f>
        <v>91.8</v>
      </c>
      <c r="E17" s="48"/>
      <c r="F17" s="24">
        <f t="shared" si="3"/>
        <v>0</v>
      </c>
      <c r="G17" s="40"/>
      <c r="H17" s="24"/>
      <c r="I17" s="40"/>
      <c r="J17" s="24"/>
      <c r="K17" s="4">
        <f t="shared" si="2"/>
        <v>0</v>
      </c>
    </row>
    <row r="18" spans="1:11" x14ac:dyDescent="0.35">
      <c r="A18" s="226"/>
      <c r="B18" s="44" t="s">
        <v>44</v>
      </c>
      <c r="C18" s="43" t="s">
        <v>10</v>
      </c>
      <c r="D18" s="12">
        <f>D10*0.03</f>
        <v>9.18</v>
      </c>
      <c r="E18" s="48"/>
      <c r="F18" s="24">
        <f t="shared" si="3"/>
        <v>0</v>
      </c>
      <c r="G18" s="12"/>
      <c r="H18" s="24"/>
      <c r="I18" s="12"/>
      <c r="J18" s="24"/>
      <c r="K18" s="4">
        <f t="shared" si="2"/>
        <v>0</v>
      </c>
    </row>
    <row r="19" spans="1:11" ht="40.5" x14ac:dyDescent="0.35">
      <c r="A19" s="225">
        <v>22</v>
      </c>
      <c r="B19" s="32" t="s">
        <v>345</v>
      </c>
      <c r="C19" s="33" t="s">
        <v>8</v>
      </c>
      <c r="D19" s="60">
        <v>112</v>
      </c>
      <c r="E19" s="21"/>
      <c r="F19" s="4"/>
      <c r="G19" s="21"/>
      <c r="H19" s="4">
        <f t="shared" si="0"/>
        <v>0</v>
      </c>
      <c r="I19" s="21"/>
      <c r="J19" s="4">
        <f t="shared" si="1"/>
        <v>0</v>
      </c>
      <c r="K19" s="4">
        <f t="shared" si="2"/>
        <v>0</v>
      </c>
    </row>
    <row r="20" spans="1:11" x14ac:dyDescent="0.35">
      <c r="A20" s="226"/>
      <c r="B20" s="44" t="s">
        <v>39</v>
      </c>
      <c r="C20" s="43" t="s">
        <v>11</v>
      </c>
      <c r="D20" s="12">
        <f>0.45*D19</f>
        <v>50.4</v>
      </c>
      <c r="E20" s="48"/>
      <c r="F20" s="24">
        <f t="shared" si="3"/>
        <v>0</v>
      </c>
      <c r="G20" s="40"/>
      <c r="H20" s="24"/>
      <c r="I20" s="40"/>
      <c r="J20" s="24"/>
      <c r="K20" s="4">
        <f t="shared" si="2"/>
        <v>0</v>
      </c>
    </row>
    <row r="21" spans="1:11" x14ac:dyDescent="0.35">
      <c r="A21" s="226"/>
      <c r="B21" s="29" t="s">
        <v>213</v>
      </c>
      <c r="C21" s="43" t="s">
        <v>11</v>
      </c>
      <c r="D21" s="12">
        <f>0.4*D19</f>
        <v>44.800000000000004</v>
      </c>
      <c r="E21" s="48"/>
      <c r="F21" s="24">
        <f t="shared" si="3"/>
        <v>0</v>
      </c>
      <c r="G21" s="40"/>
      <c r="H21" s="24"/>
      <c r="I21" s="40"/>
      <c r="J21" s="24"/>
      <c r="K21" s="4">
        <f t="shared" ref="K21:K33" si="4">J21+H21+F21</f>
        <v>0</v>
      </c>
    </row>
    <row r="22" spans="1:11" x14ac:dyDescent="0.35">
      <c r="A22" s="226"/>
      <c r="B22" s="44" t="s">
        <v>40</v>
      </c>
      <c r="C22" s="43" t="s">
        <v>11</v>
      </c>
      <c r="D22" s="12">
        <f>0.15*D19</f>
        <v>16.8</v>
      </c>
      <c r="E22" s="48"/>
      <c r="F22" s="24">
        <f t="shared" ref="F22:F33" si="5">E22*D22</f>
        <v>0</v>
      </c>
      <c r="G22" s="40"/>
      <c r="H22" s="24"/>
      <c r="I22" s="40"/>
      <c r="J22" s="24"/>
      <c r="K22" s="4">
        <f t="shared" si="4"/>
        <v>0</v>
      </c>
    </row>
    <row r="23" spans="1:11" x14ac:dyDescent="0.35">
      <c r="A23" s="226"/>
      <c r="B23" s="44" t="s">
        <v>41</v>
      </c>
      <c r="C23" s="43" t="s">
        <v>8</v>
      </c>
      <c r="D23" s="12">
        <f>0.009*D19</f>
        <v>1.008</v>
      </c>
      <c r="E23" s="48"/>
      <c r="F23" s="24">
        <f t="shared" si="5"/>
        <v>0</v>
      </c>
      <c r="G23" s="40"/>
      <c r="H23" s="24"/>
      <c r="I23" s="40"/>
      <c r="J23" s="24"/>
      <c r="K23" s="4">
        <f t="shared" si="4"/>
        <v>0</v>
      </c>
    </row>
    <row r="24" spans="1:11" x14ac:dyDescent="0.35">
      <c r="A24" s="226"/>
      <c r="B24" s="44" t="s">
        <v>69</v>
      </c>
      <c r="C24" s="43" t="s">
        <v>19</v>
      </c>
      <c r="D24" s="12">
        <v>2</v>
      </c>
      <c r="E24" s="48"/>
      <c r="F24" s="24">
        <f t="shared" si="5"/>
        <v>0</v>
      </c>
      <c r="G24" s="40"/>
      <c r="H24" s="24"/>
      <c r="I24" s="40"/>
      <c r="J24" s="24"/>
      <c r="K24" s="4">
        <f t="shared" si="4"/>
        <v>0</v>
      </c>
    </row>
    <row r="25" spans="1:11" x14ac:dyDescent="0.35">
      <c r="A25" s="226"/>
      <c r="B25" s="44" t="s">
        <v>44</v>
      </c>
      <c r="C25" s="43" t="s">
        <v>10</v>
      </c>
      <c r="D25" s="12">
        <f>D19*0.03</f>
        <v>3.36</v>
      </c>
      <c r="E25" s="48"/>
      <c r="F25" s="24">
        <f t="shared" si="5"/>
        <v>0</v>
      </c>
      <c r="G25" s="12"/>
      <c r="H25" s="24"/>
      <c r="I25" s="12"/>
      <c r="J25" s="24"/>
      <c r="K25" s="4">
        <f t="shared" si="4"/>
        <v>0</v>
      </c>
    </row>
    <row r="26" spans="1:11" ht="27" x14ac:dyDescent="0.35">
      <c r="A26" s="182">
        <v>23</v>
      </c>
      <c r="B26" s="32" t="s">
        <v>346</v>
      </c>
      <c r="C26" s="33" t="s">
        <v>8</v>
      </c>
      <c r="D26" s="60">
        <v>22</v>
      </c>
      <c r="E26" s="21"/>
      <c r="F26" s="24"/>
      <c r="G26" s="21"/>
      <c r="H26" s="4">
        <f t="shared" ref="H26" si="6">G26*D26</f>
        <v>0</v>
      </c>
      <c r="I26" s="21"/>
      <c r="J26" s="4">
        <f t="shared" ref="J26" si="7">I26*D26</f>
        <v>0</v>
      </c>
      <c r="K26" s="4">
        <f t="shared" si="4"/>
        <v>0</v>
      </c>
    </row>
    <row r="27" spans="1:11" x14ac:dyDescent="0.35">
      <c r="A27" s="183"/>
      <c r="B27" s="44" t="s">
        <v>39</v>
      </c>
      <c r="C27" s="43" t="s">
        <v>11</v>
      </c>
      <c r="D27" s="40">
        <f>0.45*D26</f>
        <v>9.9</v>
      </c>
      <c r="E27" s="48"/>
      <c r="F27" s="24">
        <f t="shared" si="5"/>
        <v>0</v>
      </c>
      <c r="G27" s="40"/>
      <c r="H27" s="24"/>
      <c r="I27" s="40"/>
      <c r="J27" s="24"/>
      <c r="K27" s="4">
        <f t="shared" si="4"/>
        <v>0</v>
      </c>
    </row>
    <row r="28" spans="1:11" x14ac:dyDescent="0.35">
      <c r="A28" s="183"/>
      <c r="B28" s="29" t="s">
        <v>213</v>
      </c>
      <c r="C28" s="43" t="s">
        <v>11</v>
      </c>
      <c r="D28" s="12">
        <f>0.4*D26</f>
        <v>8.8000000000000007</v>
      </c>
      <c r="E28" s="48"/>
      <c r="F28" s="24">
        <f t="shared" si="5"/>
        <v>0</v>
      </c>
      <c r="G28" s="40"/>
      <c r="H28" s="24"/>
      <c r="I28" s="40"/>
      <c r="J28" s="24"/>
      <c r="K28" s="4">
        <f t="shared" si="4"/>
        <v>0</v>
      </c>
    </row>
    <row r="29" spans="1:11" x14ac:dyDescent="0.35">
      <c r="A29" s="183"/>
      <c r="B29" s="44" t="s">
        <v>40</v>
      </c>
      <c r="C29" s="43" t="s">
        <v>11</v>
      </c>
      <c r="D29" s="12">
        <f>0.15*D26</f>
        <v>3.3</v>
      </c>
      <c r="E29" s="48"/>
      <c r="F29" s="24">
        <f t="shared" si="5"/>
        <v>0</v>
      </c>
      <c r="G29" s="40"/>
      <c r="H29" s="24"/>
      <c r="I29" s="40"/>
      <c r="J29" s="24"/>
      <c r="K29" s="4">
        <f t="shared" si="4"/>
        <v>0</v>
      </c>
    </row>
    <row r="30" spans="1:11" x14ac:dyDescent="0.35">
      <c r="A30" s="183"/>
      <c r="B30" s="44" t="s">
        <v>41</v>
      </c>
      <c r="C30" s="43" t="s">
        <v>8</v>
      </c>
      <c r="D30" s="12">
        <f>0.009*D26</f>
        <v>0.19799999999999998</v>
      </c>
      <c r="E30" s="48"/>
      <c r="F30" s="24">
        <f t="shared" si="5"/>
        <v>0</v>
      </c>
      <c r="G30" s="40"/>
      <c r="H30" s="24"/>
      <c r="I30" s="40"/>
      <c r="J30" s="24"/>
      <c r="K30" s="4">
        <f t="shared" si="4"/>
        <v>0</v>
      </c>
    </row>
    <row r="31" spans="1:11" x14ac:dyDescent="0.35">
      <c r="A31" s="183"/>
      <c r="B31" s="44" t="s">
        <v>42</v>
      </c>
      <c r="C31" s="43" t="s">
        <v>9</v>
      </c>
      <c r="D31" s="12">
        <f>0.4*D26</f>
        <v>8.8000000000000007</v>
      </c>
      <c r="E31" s="48"/>
      <c r="F31" s="24">
        <f t="shared" si="5"/>
        <v>0</v>
      </c>
      <c r="G31" s="40"/>
      <c r="H31" s="24"/>
      <c r="I31" s="40"/>
      <c r="J31" s="24"/>
      <c r="K31" s="4">
        <f t="shared" si="4"/>
        <v>0</v>
      </c>
    </row>
    <row r="32" spans="1:11" x14ac:dyDescent="0.35">
      <c r="A32" s="78"/>
      <c r="B32" s="44" t="s">
        <v>69</v>
      </c>
      <c r="C32" s="43" t="s">
        <v>19</v>
      </c>
      <c r="D32" s="12">
        <v>1</v>
      </c>
      <c r="E32" s="48"/>
      <c r="F32" s="24">
        <f t="shared" si="5"/>
        <v>0</v>
      </c>
      <c r="G32" s="40"/>
      <c r="H32" s="24"/>
      <c r="I32" s="40"/>
      <c r="J32" s="24"/>
      <c r="K32" s="4">
        <f t="shared" si="4"/>
        <v>0</v>
      </c>
    </row>
    <row r="33" spans="1:11" x14ac:dyDescent="0.35">
      <c r="A33" s="79"/>
      <c r="B33" s="44" t="s">
        <v>44</v>
      </c>
      <c r="C33" s="43" t="s">
        <v>10</v>
      </c>
      <c r="D33" s="12">
        <f>D26*0.03</f>
        <v>0.65999999999999992</v>
      </c>
      <c r="E33" s="48"/>
      <c r="F33" s="24">
        <f t="shared" si="5"/>
        <v>0</v>
      </c>
      <c r="G33" s="12"/>
      <c r="H33" s="24"/>
      <c r="I33" s="12"/>
      <c r="J33" s="24"/>
      <c r="K33" s="4">
        <f t="shared" si="4"/>
        <v>0</v>
      </c>
    </row>
    <row r="34" spans="1:11" x14ac:dyDescent="0.35">
      <c r="A34" s="8"/>
      <c r="B34" s="9" t="s">
        <v>6</v>
      </c>
      <c r="C34" s="9"/>
      <c r="D34" s="9"/>
      <c r="E34" s="9"/>
      <c r="F34" s="27">
        <f>SUM(F9:F33)</f>
        <v>0</v>
      </c>
      <c r="G34" s="27"/>
      <c r="H34" s="27">
        <f>SUM(H9:H33)</f>
        <v>0</v>
      </c>
      <c r="I34" s="27"/>
      <c r="J34" s="27">
        <f>SUM(J9:J33)</f>
        <v>0</v>
      </c>
      <c r="K34" s="27">
        <f>SUM(K9:K33)</f>
        <v>0</v>
      </c>
    </row>
    <row r="35" spans="1:11" x14ac:dyDescent="0.35">
      <c r="A35" s="5"/>
      <c r="B35" s="10" t="s">
        <v>12</v>
      </c>
      <c r="C35" s="19" t="s">
        <v>371</v>
      </c>
      <c r="D35" s="12"/>
      <c r="E35" s="11"/>
      <c r="F35" s="12"/>
      <c r="G35" s="12"/>
      <c r="H35" s="12"/>
      <c r="I35" s="12"/>
      <c r="J35" s="11"/>
      <c r="K35" s="26" t="e">
        <f>F34*C35</f>
        <v>#VALUE!</v>
      </c>
    </row>
    <row r="36" spans="1:11" x14ac:dyDescent="0.35">
      <c r="A36" s="5"/>
      <c r="B36" s="13" t="s">
        <v>6</v>
      </c>
      <c r="C36" s="18"/>
      <c r="D36" s="12"/>
      <c r="E36" s="11"/>
      <c r="F36" s="11"/>
      <c r="G36" s="12"/>
      <c r="H36" s="12"/>
      <c r="I36" s="12"/>
      <c r="J36" s="11"/>
      <c r="K36" s="26" t="e">
        <f>K35+K34</f>
        <v>#VALUE!</v>
      </c>
    </row>
    <row r="37" spans="1:11" x14ac:dyDescent="0.35">
      <c r="A37" s="5"/>
      <c r="B37" s="10" t="s">
        <v>13</v>
      </c>
      <c r="C37" s="19" t="s">
        <v>371</v>
      </c>
      <c r="D37" s="12"/>
      <c r="E37" s="11"/>
      <c r="F37" s="11"/>
      <c r="G37" s="12"/>
      <c r="H37" s="12"/>
      <c r="I37" s="12"/>
      <c r="J37" s="11"/>
      <c r="K37" s="26" t="e">
        <f>K36*C37</f>
        <v>#VALUE!</v>
      </c>
    </row>
    <row r="38" spans="1:11" x14ac:dyDescent="0.35">
      <c r="A38" s="5"/>
      <c r="B38" s="13" t="s">
        <v>6</v>
      </c>
      <c r="C38" s="18"/>
      <c r="D38" s="12"/>
      <c r="E38" s="11"/>
      <c r="F38" s="11"/>
      <c r="G38" s="12"/>
      <c r="H38" s="12"/>
      <c r="I38" s="12"/>
      <c r="J38" s="11"/>
      <c r="K38" s="26" t="e">
        <f>SUM(K36:K37)</f>
        <v>#VALUE!</v>
      </c>
    </row>
    <row r="39" spans="1:11" x14ac:dyDescent="0.35">
      <c r="A39" s="5"/>
      <c r="B39" s="10" t="s">
        <v>14</v>
      </c>
      <c r="C39" s="19" t="s">
        <v>371</v>
      </c>
      <c r="D39" s="12"/>
      <c r="E39" s="11"/>
      <c r="F39" s="11"/>
      <c r="G39" s="12"/>
      <c r="H39" s="12"/>
      <c r="I39" s="12"/>
      <c r="J39" s="11"/>
      <c r="K39" s="26" t="e">
        <f>K38*C39</f>
        <v>#VALUE!</v>
      </c>
    </row>
    <row r="40" spans="1:11" x14ac:dyDescent="0.35">
      <c r="A40" s="5"/>
      <c r="B40" s="13" t="s">
        <v>6</v>
      </c>
      <c r="C40" s="18"/>
      <c r="D40" s="12"/>
      <c r="E40" s="11"/>
      <c r="F40" s="11"/>
      <c r="G40" s="12"/>
      <c r="H40" s="12"/>
      <c r="I40" s="12"/>
      <c r="J40" s="11"/>
      <c r="K40" s="26" t="e">
        <f>SUM(K38:K39)</f>
        <v>#VALUE!</v>
      </c>
    </row>
    <row r="41" spans="1:11" x14ac:dyDescent="0.35">
      <c r="A41" s="5"/>
      <c r="B41" s="10" t="s">
        <v>17</v>
      </c>
      <c r="C41" s="19" t="s">
        <v>371</v>
      </c>
      <c r="D41" s="12"/>
      <c r="E41" s="11"/>
      <c r="F41" s="11"/>
      <c r="G41" s="12"/>
      <c r="H41" s="12"/>
      <c r="I41" s="12"/>
      <c r="J41" s="11"/>
      <c r="K41" s="26" t="e">
        <f>K40*C41</f>
        <v>#VALUE!</v>
      </c>
    </row>
    <row r="42" spans="1:11" x14ac:dyDescent="0.35">
      <c r="A42" s="5"/>
      <c r="B42" s="10" t="s">
        <v>20</v>
      </c>
      <c r="C42" s="19" t="s">
        <v>371</v>
      </c>
      <c r="D42" s="12"/>
      <c r="E42" s="11"/>
      <c r="F42" s="11"/>
      <c r="G42" s="12"/>
      <c r="H42" s="12"/>
      <c r="I42" s="12"/>
      <c r="J42" s="11"/>
      <c r="K42" s="26" t="e">
        <f>H34*C42</f>
        <v>#VALUE!</v>
      </c>
    </row>
    <row r="43" spans="1:11" x14ac:dyDescent="0.35">
      <c r="A43" s="5"/>
      <c r="B43" s="13" t="s">
        <v>6</v>
      </c>
      <c r="C43" s="18"/>
      <c r="D43" s="12"/>
      <c r="E43" s="11"/>
      <c r="F43" s="11"/>
      <c r="G43" s="12"/>
      <c r="H43" s="12"/>
      <c r="I43" s="12"/>
      <c r="J43" s="11"/>
      <c r="K43" s="26" t="e">
        <f>K42+K41+K40</f>
        <v>#VALUE!</v>
      </c>
    </row>
    <row r="44" spans="1:11" x14ac:dyDescent="0.35">
      <c r="A44" s="5"/>
      <c r="B44" s="6" t="s">
        <v>15</v>
      </c>
      <c r="C44" s="19">
        <v>0.18</v>
      </c>
      <c r="D44" s="12"/>
      <c r="E44" s="11"/>
      <c r="F44" s="11"/>
      <c r="G44" s="11"/>
      <c r="H44" s="11"/>
      <c r="I44" s="11"/>
      <c r="J44" s="11"/>
      <c r="K44" s="26" t="e">
        <f>K43*C44</f>
        <v>#VALUE!</v>
      </c>
    </row>
    <row r="45" spans="1:11" x14ac:dyDescent="0.35">
      <c r="A45" s="5"/>
      <c r="B45" s="9" t="s">
        <v>16</v>
      </c>
      <c r="C45" s="2"/>
      <c r="D45" s="5"/>
      <c r="E45" s="5"/>
      <c r="F45" s="5"/>
      <c r="G45" s="5"/>
      <c r="H45" s="5"/>
      <c r="I45" s="5"/>
      <c r="J45" s="5"/>
      <c r="K45" s="20" t="e">
        <f>K44+K43</f>
        <v>#VALUE!</v>
      </c>
    </row>
  </sheetData>
  <mergeCells count="20">
    <mergeCell ref="A26:A31"/>
    <mergeCell ref="B1:I1"/>
    <mergeCell ref="J1:K1"/>
    <mergeCell ref="F5:H5"/>
    <mergeCell ref="I5:J5"/>
    <mergeCell ref="A6:A7"/>
    <mergeCell ref="B6:B7"/>
    <mergeCell ref="C6:C7"/>
    <mergeCell ref="D6:D7"/>
    <mergeCell ref="E6:F6"/>
    <mergeCell ref="B3:K3"/>
    <mergeCell ref="G6:H6"/>
    <mergeCell ref="C4:F4"/>
    <mergeCell ref="A4:B4"/>
    <mergeCell ref="A5:E5"/>
    <mergeCell ref="B2:K2"/>
    <mergeCell ref="I6:J6"/>
    <mergeCell ref="K6:K7"/>
    <mergeCell ref="A10:A18"/>
    <mergeCell ref="A19:A25"/>
  </mergeCells>
  <phoneticPr fontId="12" type="noConversion"/>
  <pageMargins left="0.45" right="0.45" top="0.5" bottom="0.5" header="0.3" footer="0.3"/>
  <pageSetup scale="81" orientation="landscape" horizontalDpi="0" verticalDpi="0" r:id="rId1"/>
  <ignoredErrors>
    <ignoredError sqref="K38:K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27A6-6E0B-4094-A407-1608C9940CDF}">
  <sheetPr>
    <tabColor rgb="FF92D050"/>
  </sheetPr>
  <dimension ref="A1:K156"/>
  <sheetViews>
    <sheetView topLeftCell="A52" zoomScaleNormal="100" workbookViewId="0">
      <selection activeCell="A4" sqref="A4:K4"/>
    </sheetView>
  </sheetViews>
  <sheetFormatPr defaultRowHeight="14.5" x14ac:dyDescent="0.35"/>
  <cols>
    <col min="1" max="1" width="4.36328125" customWidth="1"/>
    <col min="2" max="2" width="65.54296875" customWidth="1"/>
    <col min="5" max="5" width="8.36328125" customWidth="1"/>
    <col min="6" max="6" width="10.453125" customWidth="1"/>
    <col min="7" max="7" width="8" customWidth="1"/>
    <col min="8" max="8" width="10.6328125" customWidth="1"/>
    <col min="9" max="9" width="7.54296875" customWidth="1"/>
    <col min="10" max="10" width="10.36328125" customWidth="1"/>
    <col min="11" max="11" width="13.453125" customWidth="1"/>
  </cols>
  <sheetData>
    <row r="1" spans="1:11" ht="23.25" customHeight="1" x14ac:dyDescent="0.4">
      <c r="A1" s="1"/>
      <c r="B1" s="215" t="s">
        <v>74</v>
      </c>
      <c r="C1" s="215"/>
      <c r="D1" s="215"/>
      <c r="E1" s="215"/>
      <c r="F1" s="215"/>
      <c r="G1" s="215"/>
      <c r="H1" s="215"/>
      <c r="I1" s="215"/>
      <c r="J1" s="231"/>
      <c r="K1" s="231"/>
    </row>
    <row r="2" spans="1:11" s="112" customFormat="1" ht="23.25" customHeight="1" x14ac:dyDescent="0.35">
      <c r="A2" s="1"/>
      <c r="B2" s="217" t="s">
        <v>78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" customHeight="1" x14ac:dyDescent="0.35">
      <c r="A3" s="15"/>
      <c r="B3" s="217" t="s">
        <v>366</v>
      </c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35">
      <c r="A4" s="187" t="s">
        <v>373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8" customHeight="1" x14ac:dyDescent="0.35">
      <c r="A5" s="189" t="s">
        <v>363</v>
      </c>
      <c r="B5" s="189"/>
      <c r="C5" s="189"/>
      <c r="D5" s="189"/>
      <c r="E5" s="189"/>
      <c r="F5" s="219" t="s">
        <v>22</v>
      </c>
      <c r="G5" s="219"/>
      <c r="H5" s="219"/>
      <c r="I5" s="220" t="e">
        <f>K156</f>
        <v>#VALUE!</v>
      </c>
      <c r="J5" s="221"/>
      <c r="K5" s="16" t="s">
        <v>10</v>
      </c>
    </row>
    <row r="6" spans="1:11" ht="30" customHeight="1" x14ac:dyDescent="0.35">
      <c r="A6" s="209" t="s">
        <v>18</v>
      </c>
      <c r="B6" s="209" t="s">
        <v>0</v>
      </c>
      <c r="C6" s="209" t="s">
        <v>1</v>
      </c>
      <c r="D6" s="213" t="s">
        <v>2</v>
      </c>
      <c r="E6" s="211" t="s">
        <v>3</v>
      </c>
      <c r="F6" s="212"/>
      <c r="G6" s="211" t="s">
        <v>4</v>
      </c>
      <c r="H6" s="212"/>
      <c r="I6" s="207" t="s">
        <v>5</v>
      </c>
      <c r="J6" s="208"/>
      <c r="K6" s="209" t="s">
        <v>6</v>
      </c>
    </row>
    <row r="7" spans="1:11" ht="27" x14ac:dyDescent="0.35">
      <c r="A7" s="210"/>
      <c r="B7" s="210"/>
      <c r="C7" s="210"/>
      <c r="D7" s="214"/>
      <c r="E7" s="11" t="s">
        <v>7</v>
      </c>
      <c r="F7" s="11" t="s">
        <v>6</v>
      </c>
      <c r="G7" s="11" t="s">
        <v>7</v>
      </c>
      <c r="H7" s="11" t="s">
        <v>6</v>
      </c>
      <c r="I7" s="11" t="s">
        <v>7</v>
      </c>
      <c r="J7" s="11" t="s">
        <v>6</v>
      </c>
      <c r="K7" s="210"/>
    </row>
    <row r="8" spans="1:11" x14ac:dyDescent="0.35">
      <c r="A8" s="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1" ht="20.149999999999999" customHeight="1" x14ac:dyDescent="0.35">
      <c r="A9" s="128"/>
      <c r="B9" s="139" t="s">
        <v>89</v>
      </c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5" customHeight="1" x14ac:dyDescent="0.35">
      <c r="A10" s="89"/>
      <c r="B10" s="31" t="s">
        <v>108</v>
      </c>
      <c r="C10" s="89"/>
      <c r="D10" s="89"/>
      <c r="E10" s="2"/>
      <c r="F10" s="2"/>
      <c r="G10" s="2"/>
      <c r="H10" s="2"/>
      <c r="I10" s="2"/>
      <c r="J10" s="2"/>
      <c r="K10" s="2"/>
    </row>
    <row r="11" spans="1:11" ht="40.5" x14ac:dyDescent="0.35">
      <c r="A11" s="225">
        <v>1</v>
      </c>
      <c r="B11" s="32" t="s">
        <v>347</v>
      </c>
      <c r="C11" s="33" t="s">
        <v>8</v>
      </c>
      <c r="D11" s="60">
        <v>154</v>
      </c>
      <c r="E11" s="21"/>
      <c r="F11" s="4"/>
      <c r="G11" s="21"/>
      <c r="H11" s="4">
        <f t="shared" ref="H11:H20" si="0">G11*D11</f>
        <v>0</v>
      </c>
      <c r="I11" s="21"/>
      <c r="J11" s="4">
        <f t="shared" ref="J11:J20" si="1">I11*D11</f>
        <v>0</v>
      </c>
      <c r="K11" s="4">
        <f t="shared" ref="K11:K22" si="2">J11+H11+F11</f>
        <v>0</v>
      </c>
    </row>
    <row r="12" spans="1:11" x14ac:dyDescent="0.35">
      <c r="A12" s="226"/>
      <c r="B12" s="44" t="s">
        <v>39</v>
      </c>
      <c r="C12" s="43" t="s">
        <v>11</v>
      </c>
      <c r="D12" s="12">
        <f>0.45*D11</f>
        <v>69.3</v>
      </c>
      <c r="E12" s="48"/>
      <c r="F12" s="12">
        <f t="shared" ref="F12:F19" si="3">E12*D12</f>
        <v>0</v>
      </c>
      <c r="G12" s="40"/>
      <c r="H12" s="4"/>
      <c r="I12" s="40"/>
      <c r="J12" s="4"/>
      <c r="K12" s="4">
        <f t="shared" si="2"/>
        <v>0</v>
      </c>
    </row>
    <row r="13" spans="1:11" x14ac:dyDescent="0.35">
      <c r="A13" s="226"/>
      <c r="B13" s="29" t="s">
        <v>213</v>
      </c>
      <c r="C13" s="43" t="s">
        <v>11</v>
      </c>
      <c r="D13" s="12">
        <f>0.4*D11</f>
        <v>61.6</v>
      </c>
      <c r="E13" s="48"/>
      <c r="F13" s="12">
        <f t="shared" si="3"/>
        <v>0</v>
      </c>
      <c r="G13" s="40"/>
      <c r="H13" s="4"/>
      <c r="I13" s="40"/>
      <c r="J13" s="4"/>
      <c r="K13" s="4">
        <f t="shared" si="2"/>
        <v>0</v>
      </c>
    </row>
    <row r="14" spans="1:11" x14ac:dyDescent="0.35">
      <c r="A14" s="226"/>
      <c r="B14" s="44" t="s">
        <v>40</v>
      </c>
      <c r="C14" s="43" t="s">
        <v>11</v>
      </c>
      <c r="D14" s="12">
        <f>0.15*D11</f>
        <v>23.099999999999998</v>
      </c>
      <c r="E14" s="48"/>
      <c r="F14" s="12">
        <f t="shared" si="3"/>
        <v>0</v>
      </c>
      <c r="G14" s="40"/>
      <c r="H14" s="4"/>
      <c r="I14" s="40"/>
      <c r="J14" s="4"/>
      <c r="K14" s="4">
        <f t="shared" si="2"/>
        <v>0</v>
      </c>
    </row>
    <row r="15" spans="1:11" x14ac:dyDescent="0.35">
      <c r="A15" s="226"/>
      <c r="B15" s="44" t="s">
        <v>41</v>
      </c>
      <c r="C15" s="43" t="s">
        <v>8</v>
      </c>
      <c r="D15" s="12">
        <f>0.009*D11</f>
        <v>1.3859999999999999</v>
      </c>
      <c r="E15" s="48"/>
      <c r="F15" s="12">
        <f t="shared" si="3"/>
        <v>0</v>
      </c>
      <c r="G15" s="40"/>
      <c r="H15" s="4"/>
      <c r="I15" s="40"/>
      <c r="J15" s="4"/>
      <c r="K15" s="4">
        <f t="shared" si="2"/>
        <v>0</v>
      </c>
    </row>
    <row r="16" spans="1:11" x14ac:dyDescent="0.35">
      <c r="A16" s="226"/>
      <c r="B16" s="44" t="s">
        <v>42</v>
      </c>
      <c r="C16" s="43" t="s">
        <v>9</v>
      </c>
      <c r="D16" s="12">
        <f>0.4*D11</f>
        <v>61.6</v>
      </c>
      <c r="E16" s="48"/>
      <c r="F16" s="12">
        <f t="shared" si="3"/>
        <v>0</v>
      </c>
      <c r="G16" s="40"/>
      <c r="H16" s="4"/>
      <c r="I16" s="40"/>
      <c r="J16" s="4"/>
      <c r="K16" s="4">
        <f t="shared" si="2"/>
        <v>0</v>
      </c>
    </row>
    <row r="17" spans="1:11" x14ac:dyDescent="0.35">
      <c r="A17" s="226"/>
      <c r="B17" s="44" t="s">
        <v>69</v>
      </c>
      <c r="C17" s="43" t="s">
        <v>19</v>
      </c>
      <c r="D17" s="12">
        <v>3</v>
      </c>
      <c r="E17" s="48"/>
      <c r="F17" s="12">
        <f t="shared" si="3"/>
        <v>0</v>
      </c>
      <c r="G17" s="40"/>
      <c r="H17" s="40"/>
      <c r="I17" s="40"/>
      <c r="J17" s="41"/>
      <c r="K17" s="4">
        <f t="shared" si="2"/>
        <v>0</v>
      </c>
    </row>
    <row r="18" spans="1:11" x14ac:dyDescent="0.35">
      <c r="A18" s="226"/>
      <c r="B18" s="44" t="s">
        <v>43</v>
      </c>
      <c r="C18" s="43" t="s">
        <v>9</v>
      </c>
      <c r="D18" s="12">
        <f>0.3*D11</f>
        <v>46.199999999999996</v>
      </c>
      <c r="E18" s="48"/>
      <c r="F18" s="12">
        <f t="shared" si="3"/>
        <v>0</v>
      </c>
      <c r="G18" s="40"/>
      <c r="H18" s="4"/>
      <c r="I18" s="40"/>
      <c r="J18" s="4"/>
      <c r="K18" s="4">
        <f t="shared" si="2"/>
        <v>0</v>
      </c>
    </row>
    <row r="19" spans="1:11" x14ac:dyDescent="0.35">
      <c r="A19" s="226"/>
      <c r="B19" s="44" t="s">
        <v>44</v>
      </c>
      <c r="C19" s="43" t="s">
        <v>10</v>
      </c>
      <c r="D19" s="12">
        <f>D11*0.03</f>
        <v>4.62</v>
      </c>
      <c r="E19" s="48"/>
      <c r="F19" s="12">
        <f t="shared" si="3"/>
        <v>0</v>
      </c>
      <c r="G19" s="12"/>
      <c r="H19" s="4"/>
      <c r="I19" s="12"/>
      <c r="J19" s="4"/>
      <c r="K19" s="4">
        <f t="shared" si="2"/>
        <v>0</v>
      </c>
    </row>
    <row r="20" spans="1:11" ht="40.5" x14ac:dyDescent="0.35">
      <c r="A20" s="230" t="s">
        <v>32</v>
      </c>
      <c r="B20" s="45" t="s">
        <v>109</v>
      </c>
      <c r="C20" s="37" t="s">
        <v>9</v>
      </c>
      <c r="D20" s="38">
        <v>28</v>
      </c>
      <c r="E20" s="12"/>
      <c r="F20" s="12"/>
      <c r="G20" s="12"/>
      <c r="H20" s="4">
        <f t="shared" si="0"/>
        <v>0</v>
      </c>
      <c r="I20" s="12"/>
      <c r="J20" s="4">
        <f t="shared" si="1"/>
        <v>0</v>
      </c>
      <c r="K20" s="4">
        <f t="shared" si="2"/>
        <v>0</v>
      </c>
    </row>
    <row r="21" spans="1:11" x14ac:dyDescent="0.35">
      <c r="A21" s="193"/>
      <c r="B21" s="44" t="s">
        <v>105</v>
      </c>
      <c r="C21" s="43" t="s">
        <v>83</v>
      </c>
      <c r="D21" s="48">
        <f>D20*0.2*1.1</f>
        <v>6.160000000000001</v>
      </c>
      <c r="E21" s="48"/>
      <c r="F21" s="48">
        <f>E21*D21</f>
        <v>0</v>
      </c>
      <c r="G21" s="48"/>
      <c r="H21" s="48"/>
      <c r="I21" s="48"/>
      <c r="J21" s="50"/>
      <c r="K21" s="12">
        <f t="shared" si="2"/>
        <v>0</v>
      </c>
    </row>
    <row r="22" spans="1:11" x14ac:dyDescent="0.35">
      <c r="A22" s="186"/>
      <c r="B22" s="44" t="s">
        <v>26</v>
      </c>
      <c r="C22" s="43" t="s">
        <v>10</v>
      </c>
      <c r="D22" s="48">
        <f>D20*0.08</f>
        <v>2.2400000000000002</v>
      </c>
      <c r="E22" s="48"/>
      <c r="F22" s="48">
        <f>E22*D22</f>
        <v>0</v>
      </c>
      <c r="G22" s="48"/>
      <c r="H22" s="48"/>
      <c r="I22" s="48"/>
      <c r="J22" s="50"/>
      <c r="K22" s="12">
        <f t="shared" si="2"/>
        <v>0</v>
      </c>
    </row>
    <row r="23" spans="1:11" x14ac:dyDescent="0.35">
      <c r="A23" s="5"/>
      <c r="B23" s="88" t="s">
        <v>125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27" x14ac:dyDescent="0.35">
      <c r="A24" s="8">
        <v>3</v>
      </c>
      <c r="B24" s="25" t="s">
        <v>90</v>
      </c>
      <c r="C24" s="8" t="s">
        <v>23</v>
      </c>
      <c r="D24" s="60">
        <v>1.5</v>
      </c>
      <c r="E24" s="4"/>
      <c r="F24" s="4"/>
      <c r="G24" s="4"/>
      <c r="H24" s="4">
        <f>G24*D24</f>
        <v>0</v>
      </c>
      <c r="I24" s="4"/>
      <c r="J24" s="4"/>
      <c r="K24" s="4">
        <f>J24+H24+F24</f>
        <v>0</v>
      </c>
    </row>
    <row r="25" spans="1:11" x14ac:dyDescent="0.35">
      <c r="A25" s="194">
        <v>4</v>
      </c>
      <c r="B25" s="25" t="s">
        <v>95</v>
      </c>
      <c r="C25" s="9" t="s">
        <v>8</v>
      </c>
      <c r="D25" s="60">
        <v>1.5</v>
      </c>
      <c r="E25" s="4"/>
      <c r="F25" s="4"/>
      <c r="G25" s="4"/>
      <c r="H25" s="4">
        <f>G25*D25</f>
        <v>0</v>
      </c>
      <c r="I25" s="4"/>
      <c r="J25" s="4">
        <f>I25*D25</f>
        <v>0</v>
      </c>
      <c r="K25" s="4">
        <f t="shared" ref="K25:K44" si="4">J25+H25+F25</f>
        <v>0</v>
      </c>
    </row>
    <row r="26" spans="1:11" x14ac:dyDescent="0.35">
      <c r="A26" s="195"/>
      <c r="B26" s="23" t="s">
        <v>96</v>
      </c>
      <c r="C26" s="2" t="s">
        <v>8</v>
      </c>
      <c r="D26" s="24">
        <f>D25*1.02</f>
        <v>1.53</v>
      </c>
      <c r="E26" s="24"/>
      <c r="F26" s="24">
        <f>E26*D26</f>
        <v>0</v>
      </c>
      <c r="G26" s="24"/>
      <c r="H26" s="24"/>
      <c r="I26" s="24"/>
      <c r="J26" s="24"/>
      <c r="K26" s="4">
        <f t="shared" si="4"/>
        <v>0</v>
      </c>
    </row>
    <row r="27" spans="1:11" x14ac:dyDescent="0.35">
      <c r="A27" s="195"/>
      <c r="B27" s="23" t="s">
        <v>356</v>
      </c>
      <c r="C27" s="2" t="s">
        <v>9</v>
      </c>
      <c r="D27" s="24">
        <f>D25*2</f>
        <v>3</v>
      </c>
      <c r="E27" s="24"/>
      <c r="F27" s="24">
        <f t="shared" ref="F27:F31" si="5">E27*D27</f>
        <v>0</v>
      </c>
      <c r="G27" s="24"/>
      <c r="H27" s="24"/>
      <c r="I27" s="24"/>
      <c r="J27" s="24"/>
      <c r="K27" s="4">
        <f t="shared" si="4"/>
        <v>0</v>
      </c>
    </row>
    <row r="28" spans="1:11" x14ac:dyDescent="0.35">
      <c r="A28" s="195"/>
      <c r="B28" s="23" t="s">
        <v>353</v>
      </c>
      <c r="C28" s="2" t="s">
        <v>11</v>
      </c>
      <c r="D28" s="24">
        <f>D25*0.4</f>
        <v>0.60000000000000009</v>
      </c>
      <c r="E28" s="21"/>
      <c r="F28" s="24">
        <f t="shared" si="5"/>
        <v>0</v>
      </c>
      <c r="G28" s="24"/>
      <c r="H28" s="24"/>
      <c r="I28" s="24"/>
      <c r="J28" s="24"/>
      <c r="K28" s="4">
        <f t="shared" si="4"/>
        <v>0</v>
      </c>
    </row>
    <row r="29" spans="1:11" x14ac:dyDescent="0.35">
      <c r="A29" s="195"/>
      <c r="B29" s="23" t="s">
        <v>354</v>
      </c>
      <c r="C29" s="2" t="s">
        <v>11</v>
      </c>
      <c r="D29" s="24">
        <f>D25*0.1</f>
        <v>0.15000000000000002</v>
      </c>
      <c r="E29" s="21"/>
      <c r="F29" s="24">
        <f t="shared" si="5"/>
        <v>0</v>
      </c>
      <c r="G29" s="24"/>
      <c r="H29" s="24"/>
      <c r="I29" s="24"/>
      <c r="J29" s="24"/>
      <c r="K29" s="4">
        <f t="shared" si="4"/>
        <v>0</v>
      </c>
    </row>
    <row r="30" spans="1:11" x14ac:dyDescent="0.35">
      <c r="A30" s="195"/>
      <c r="B30" s="23" t="s">
        <v>355</v>
      </c>
      <c r="C30" s="2" t="s">
        <v>11</v>
      </c>
      <c r="D30" s="24">
        <f>D25*0.35</f>
        <v>0.52499999999999991</v>
      </c>
      <c r="E30" s="21"/>
      <c r="F30" s="24">
        <f t="shared" si="5"/>
        <v>0</v>
      </c>
      <c r="G30" s="24"/>
      <c r="H30" s="24"/>
      <c r="I30" s="24"/>
      <c r="J30" s="24"/>
      <c r="K30" s="4">
        <f t="shared" si="4"/>
        <v>0</v>
      </c>
    </row>
    <row r="31" spans="1:11" x14ac:dyDescent="0.35">
      <c r="A31" s="196"/>
      <c r="B31" s="23" t="s">
        <v>26</v>
      </c>
      <c r="C31" s="2" t="s">
        <v>10</v>
      </c>
      <c r="D31" s="24">
        <f>D25*0.08</f>
        <v>0.12</v>
      </c>
      <c r="E31" s="24"/>
      <c r="F31" s="24">
        <f t="shared" si="5"/>
        <v>0</v>
      </c>
      <c r="G31" s="24"/>
      <c r="H31" s="24"/>
      <c r="I31" s="24"/>
      <c r="J31" s="24"/>
      <c r="K31" s="4">
        <f t="shared" si="4"/>
        <v>0</v>
      </c>
    </row>
    <row r="32" spans="1:11" ht="27" x14ac:dyDescent="0.35">
      <c r="A32" s="225">
        <v>5</v>
      </c>
      <c r="B32" s="32" t="s">
        <v>97</v>
      </c>
      <c r="C32" s="33" t="s">
        <v>8</v>
      </c>
      <c r="D32" s="60">
        <v>37</v>
      </c>
      <c r="E32" s="21"/>
      <c r="F32" s="4"/>
      <c r="G32" s="21"/>
      <c r="H32" s="4">
        <f t="shared" ref="H32" si="6">G32*D32</f>
        <v>0</v>
      </c>
      <c r="I32" s="21"/>
      <c r="J32" s="4">
        <f t="shared" ref="J32" si="7">I32*D32</f>
        <v>0</v>
      </c>
      <c r="K32" s="4">
        <f t="shared" si="4"/>
        <v>0</v>
      </c>
    </row>
    <row r="33" spans="1:11" x14ac:dyDescent="0.35">
      <c r="A33" s="226"/>
      <c r="B33" s="28" t="s">
        <v>45</v>
      </c>
      <c r="C33" s="17" t="s">
        <v>11</v>
      </c>
      <c r="D33" s="4">
        <f>0.45*D32</f>
        <v>16.650000000000002</v>
      </c>
      <c r="E33" s="4"/>
      <c r="F33" s="4">
        <f t="shared" ref="F33:F39" si="8">E33*D33</f>
        <v>0</v>
      </c>
      <c r="G33" s="4"/>
      <c r="H33" s="4"/>
      <c r="I33" s="4"/>
      <c r="J33" s="4"/>
      <c r="K33" s="4">
        <f t="shared" si="4"/>
        <v>0</v>
      </c>
    </row>
    <row r="34" spans="1:11" x14ac:dyDescent="0.35">
      <c r="A34" s="226"/>
      <c r="B34" s="28" t="s">
        <v>41</v>
      </c>
      <c r="C34" s="17" t="s">
        <v>8</v>
      </c>
      <c r="D34" s="30">
        <f>0.009*D32</f>
        <v>0.33299999999999996</v>
      </c>
      <c r="E34" s="4"/>
      <c r="F34" s="4">
        <f t="shared" si="8"/>
        <v>0</v>
      </c>
      <c r="G34" s="4"/>
      <c r="H34" s="4"/>
      <c r="I34" s="4"/>
      <c r="J34" s="4"/>
      <c r="K34" s="4">
        <f t="shared" si="4"/>
        <v>0</v>
      </c>
    </row>
    <row r="35" spans="1:11" x14ac:dyDescent="0.35">
      <c r="A35" s="226"/>
      <c r="B35" s="29" t="s">
        <v>98</v>
      </c>
      <c r="C35" s="17" t="s">
        <v>11</v>
      </c>
      <c r="D35" s="4">
        <f>D32*0.4</f>
        <v>14.8</v>
      </c>
      <c r="E35" s="4"/>
      <c r="F35" s="4">
        <f t="shared" si="8"/>
        <v>0</v>
      </c>
      <c r="G35" s="4"/>
      <c r="H35" s="4"/>
      <c r="I35" s="4"/>
      <c r="J35" s="4"/>
      <c r="K35" s="4">
        <f t="shared" si="4"/>
        <v>0</v>
      </c>
    </row>
    <row r="36" spans="1:11" x14ac:dyDescent="0.35">
      <c r="A36" s="226"/>
      <c r="B36" s="29" t="s">
        <v>65</v>
      </c>
      <c r="C36" s="17" t="s">
        <v>11</v>
      </c>
      <c r="D36" s="4">
        <f>0.12*D32</f>
        <v>4.4399999999999995</v>
      </c>
      <c r="E36" s="4"/>
      <c r="F36" s="4">
        <f t="shared" si="8"/>
        <v>0</v>
      </c>
      <c r="G36" s="4"/>
      <c r="H36" s="4"/>
      <c r="I36" s="4"/>
      <c r="J36" s="4"/>
      <c r="K36" s="4">
        <f t="shared" si="4"/>
        <v>0</v>
      </c>
    </row>
    <row r="37" spans="1:11" x14ac:dyDescent="0.35">
      <c r="A37" s="226"/>
      <c r="B37" s="3" t="s">
        <v>46</v>
      </c>
      <c r="C37" s="17" t="s">
        <v>9</v>
      </c>
      <c r="D37" s="4">
        <f>0.6*D32</f>
        <v>22.2</v>
      </c>
      <c r="E37" s="4"/>
      <c r="F37" s="4">
        <f t="shared" si="8"/>
        <v>0</v>
      </c>
      <c r="G37" s="4"/>
      <c r="H37" s="4"/>
      <c r="I37" s="4"/>
      <c r="J37" s="4"/>
      <c r="K37" s="4">
        <f t="shared" si="4"/>
        <v>0</v>
      </c>
    </row>
    <row r="38" spans="1:11" x14ac:dyDescent="0.35">
      <c r="A38" s="81"/>
      <c r="B38" s="44" t="s">
        <v>69</v>
      </c>
      <c r="C38" s="43" t="s">
        <v>19</v>
      </c>
      <c r="D38" s="12">
        <v>2</v>
      </c>
      <c r="E38" s="48"/>
      <c r="F38" s="12">
        <f t="shared" si="8"/>
        <v>0</v>
      </c>
      <c r="G38" s="40"/>
      <c r="H38" s="40"/>
      <c r="I38" s="40"/>
      <c r="J38" s="41"/>
      <c r="K38" s="4">
        <f t="shared" si="4"/>
        <v>0</v>
      </c>
    </row>
    <row r="39" spans="1:11" x14ac:dyDescent="0.35">
      <c r="A39" s="81"/>
      <c r="B39" s="51" t="s">
        <v>99</v>
      </c>
      <c r="C39" s="52" t="s">
        <v>10</v>
      </c>
      <c r="D39" s="53">
        <f>D32*0.03</f>
        <v>1.1099999999999999</v>
      </c>
      <c r="E39" s="53"/>
      <c r="F39" s="53">
        <f t="shared" si="8"/>
        <v>0</v>
      </c>
      <c r="G39" s="53"/>
      <c r="H39" s="53"/>
      <c r="I39" s="53"/>
      <c r="J39" s="53"/>
      <c r="K39" s="53">
        <f t="shared" si="4"/>
        <v>0</v>
      </c>
    </row>
    <row r="40" spans="1:11" ht="30" customHeight="1" x14ac:dyDescent="0.35">
      <c r="A40" s="194">
        <v>6</v>
      </c>
      <c r="B40" s="14" t="s">
        <v>101</v>
      </c>
      <c r="C40" s="8" t="s">
        <v>8</v>
      </c>
      <c r="D40" s="60">
        <f>1.3*2.15*2*1.2</f>
        <v>6.7079999999999993</v>
      </c>
      <c r="E40" s="4"/>
      <c r="F40" s="4"/>
      <c r="G40" s="4"/>
      <c r="H40" s="4">
        <f>G40*D40</f>
        <v>0</v>
      </c>
      <c r="I40" s="4"/>
      <c r="J40" s="4">
        <f>I40*D40</f>
        <v>0</v>
      </c>
      <c r="K40" s="53">
        <f t="shared" si="4"/>
        <v>0</v>
      </c>
    </row>
    <row r="41" spans="1:11" x14ac:dyDescent="0.35">
      <c r="A41" s="195"/>
      <c r="B41" s="23" t="s">
        <v>100</v>
      </c>
      <c r="C41" s="2" t="s">
        <v>11</v>
      </c>
      <c r="D41" s="24">
        <f>D40*0.4</f>
        <v>2.6831999999999998</v>
      </c>
      <c r="E41" s="24"/>
      <c r="F41" s="24">
        <f>E41*D41</f>
        <v>0</v>
      </c>
      <c r="G41" s="24"/>
      <c r="H41" s="24"/>
      <c r="I41" s="24"/>
      <c r="J41" s="24"/>
      <c r="K41" s="53">
        <f t="shared" si="4"/>
        <v>0</v>
      </c>
    </row>
    <row r="42" spans="1:11" x14ac:dyDescent="0.35">
      <c r="A42" s="195"/>
      <c r="B42" s="23" t="s">
        <v>102</v>
      </c>
      <c r="C42" s="2" t="s">
        <v>8</v>
      </c>
      <c r="D42" s="24">
        <f>D40*0.09</f>
        <v>0.60371999999999992</v>
      </c>
      <c r="E42" s="24"/>
      <c r="F42" s="120">
        <f t="shared" ref="F42:F43" si="9">E42*D42</f>
        <v>0</v>
      </c>
      <c r="G42" s="24"/>
      <c r="H42" s="24"/>
      <c r="I42" s="24"/>
      <c r="J42" s="24"/>
      <c r="K42" s="53">
        <f t="shared" si="4"/>
        <v>0</v>
      </c>
    </row>
    <row r="43" spans="1:11" x14ac:dyDescent="0.35">
      <c r="A43" s="196"/>
      <c r="B43" s="51" t="s">
        <v>99</v>
      </c>
      <c r="C43" s="52" t="s">
        <v>10</v>
      </c>
      <c r="D43" s="53">
        <f>D36*0.3</f>
        <v>1.3319999999999999</v>
      </c>
      <c r="E43" s="53"/>
      <c r="F43" s="120">
        <f t="shared" si="9"/>
        <v>0</v>
      </c>
      <c r="G43" s="53"/>
      <c r="H43" s="53"/>
      <c r="I43" s="53"/>
      <c r="J43" s="53"/>
      <c r="K43" s="53">
        <f t="shared" si="4"/>
        <v>0</v>
      </c>
    </row>
    <row r="44" spans="1:11" ht="27" x14ac:dyDescent="0.35">
      <c r="A44" s="225">
        <v>7</v>
      </c>
      <c r="B44" s="32" t="s">
        <v>103</v>
      </c>
      <c r="C44" s="33" t="s">
        <v>8</v>
      </c>
      <c r="D44" s="60">
        <v>26</v>
      </c>
      <c r="E44" s="21"/>
      <c r="F44" s="4"/>
      <c r="G44" s="21"/>
      <c r="H44" s="4">
        <f t="shared" ref="H44" si="10">G44*D44</f>
        <v>0</v>
      </c>
      <c r="I44" s="21"/>
      <c r="J44" s="4">
        <f t="shared" ref="J44" si="11">I44*D44</f>
        <v>0</v>
      </c>
      <c r="K44" s="53">
        <f t="shared" si="4"/>
        <v>0</v>
      </c>
    </row>
    <row r="45" spans="1:11" x14ac:dyDescent="0.35">
      <c r="A45" s="226"/>
      <c r="B45" s="28" t="s">
        <v>45</v>
      </c>
      <c r="C45" s="17" t="s">
        <v>11</v>
      </c>
      <c r="D45" s="4">
        <f>0.45*D44</f>
        <v>11.700000000000001</v>
      </c>
      <c r="E45" s="4"/>
      <c r="F45" s="4">
        <f t="shared" ref="F45:F52" si="12">E45*D45</f>
        <v>0</v>
      </c>
      <c r="G45" s="4"/>
      <c r="H45" s="4"/>
      <c r="I45" s="4"/>
      <c r="J45" s="4"/>
      <c r="K45" s="4">
        <f t="shared" ref="K45:K52" si="13">J45+H45+F45</f>
        <v>0</v>
      </c>
    </row>
    <row r="46" spans="1:11" x14ac:dyDescent="0.35">
      <c r="A46" s="226"/>
      <c r="B46" s="28" t="s">
        <v>41</v>
      </c>
      <c r="C46" s="17" t="s">
        <v>8</v>
      </c>
      <c r="D46" s="30">
        <f>0.009*D44</f>
        <v>0.23399999999999999</v>
      </c>
      <c r="E46" s="4"/>
      <c r="F46" s="114">
        <f t="shared" si="12"/>
        <v>0</v>
      </c>
      <c r="G46" s="4"/>
      <c r="H46" s="4"/>
      <c r="I46" s="4"/>
      <c r="J46" s="4"/>
      <c r="K46" s="4">
        <f t="shared" si="13"/>
        <v>0</v>
      </c>
    </row>
    <row r="47" spans="1:11" x14ac:dyDescent="0.35">
      <c r="A47" s="226"/>
      <c r="B47" s="29" t="s">
        <v>98</v>
      </c>
      <c r="C47" s="17" t="s">
        <v>11</v>
      </c>
      <c r="D47" s="4">
        <f>D44*0.4</f>
        <v>10.4</v>
      </c>
      <c r="E47" s="4"/>
      <c r="F47" s="114">
        <f t="shared" si="12"/>
        <v>0</v>
      </c>
      <c r="G47" s="4"/>
      <c r="I47" s="4"/>
      <c r="J47" s="4"/>
      <c r="K47" s="4">
        <f>J47+G47+F47</f>
        <v>0</v>
      </c>
    </row>
    <row r="48" spans="1:11" x14ac:dyDescent="0.35">
      <c r="A48" s="226"/>
      <c r="B48" s="29" t="s">
        <v>65</v>
      </c>
      <c r="C48" s="17" t="s">
        <v>11</v>
      </c>
      <c r="D48" s="4">
        <f>0.12*D44</f>
        <v>3.12</v>
      </c>
      <c r="E48" s="4"/>
      <c r="F48" s="114">
        <f t="shared" si="12"/>
        <v>0</v>
      </c>
      <c r="G48" s="4"/>
      <c r="H48" s="4"/>
      <c r="I48" s="4"/>
      <c r="J48" s="4"/>
      <c r="K48" s="4">
        <f t="shared" si="13"/>
        <v>0</v>
      </c>
    </row>
    <row r="49" spans="1:11" x14ac:dyDescent="0.35">
      <c r="A49" s="226"/>
      <c r="B49" s="3" t="s">
        <v>46</v>
      </c>
      <c r="C49" s="17" t="s">
        <v>9</v>
      </c>
      <c r="D49" s="4">
        <f>0.6*D44</f>
        <v>15.6</v>
      </c>
      <c r="E49" s="4"/>
      <c r="F49" s="114">
        <f t="shared" si="12"/>
        <v>0</v>
      </c>
      <c r="G49" s="4"/>
      <c r="H49" s="4"/>
      <c r="I49" s="4"/>
      <c r="J49" s="4"/>
      <c r="K49" s="4">
        <f t="shared" si="13"/>
        <v>0</v>
      </c>
    </row>
    <row r="50" spans="1:11" x14ac:dyDescent="0.35">
      <c r="A50" s="226"/>
      <c r="B50" s="44" t="s">
        <v>69</v>
      </c>
      <c r="C50" s="43" t="s">
        <v>19</v>
      </c>
      <c r="D50" s="12">
        <v>4</v>
      </c>
      <c r="E50" s="48"/>
      <c r="F50" s="114">
        <f t="shared" si="12"/>
        <v>0</v>
      </c>
      <c r="G50" s="40"/>
      <c r="H50" s="40"/>
      <c r="I50" s="40"/>
      <c r="J50" s="41"/>
      <c r="K50" s="4">
        <f t="shared" si="13"/>
        <v>0</v>
      </c>
    </row>
    <row r="51" spans="1:11" x14ac:dyDescent="0.35">
      <c r="A51" s="226"/>
      <c r="B51" s="3" t="s">
        <v>43</v>
      </c>
      <c r="C51" s="17" t="s">
        <v>9</v>
      </c>
      <c r="D51" s="4">
        <f>0.26*D44</f>
        <v>6.76</v>
      </c>
      <c r="E51" s="4"/>
      <c r="F51" s="114">
        <f t="shared" si="12"/>
        <v>0</v>
      </c>
      <c r="G51" s="4"/>
      <c r="H51" s="4"/>
      <c r="I51" s="4"/>
      <c r="J51" s="4"/>
      <c r="K51" s="4">
        <f t="shared" si="13"/>
        <v>0</v>
      </c>
    </row>
    <row r="52" spans="1:11" x14ac:dyDescent="0.35">
      <c r="A52" s="226"/>
      <c r="B52" s="3" t="s">
        <v>66</v>
      </c>
      <c r="C52" s="17" t="s">
        <v>10</v>
      </c>
      <c r="D52" s="4">
        <f>D44*0.03</f>
        <v>0.78</v>
      </c>
      <c r="E52" s="4"/>
      <c r="F52" s="114">
        <f t="shared" si="12"/>
        <v>0</v>
      </c>
      <c r="G52" s="4"/>
      <c r="H52" s="4"/>
      <c r="I52" s="4"/>
      <c r="J52" s="4"/>
      <c r="K52" s="4">
        <f t="shared" si="13"/>
        <v>0</v>
      </c>
    </row>
    <row r="53" spans="1:11" x14ac:dyDescent="0.35">
      <c r="A53" s="5"/>
      <c r="B53" s="88" t="s">
        <v>107</v>
      </c>
      <c r="C53" s="2"/>
      <c r="D53" s="24"/>
      <c r="E53" s="24"/>
      <c r="F53" s="24"/>
      <c r="G53" s="24"/>
      <c r="H53" s="24"/>
      <c r="I53" s="24"/>
      <c r="J53" s="24"/>
      <c r="K53" s="24"/>
    </row>
    <row r="54" spans="1:11" ht="27" x14ac:dyDescent="0.35">
      <c r="A54" s="194">
        <v>8</v>
      </c>
      <c r="B54" s="25" t="s">
        <v>104</v>
      </c>
      <c r="C54" s="8" t="s">
        <v>23</v>
      </c>
      <c r="D54" s="60">
        <f>1.2*1.6*11</f>
        <v>21.119999999999997</v>
      </c>
      <c r="E54" s="4"/>
      <c r="F54" s="4"/>
      <c r="G54" s="4"/>
      <c r="H54" s="4">
        <f>G54*D54</f>
        <v>0</v>
      </c>
      <c r="I54" s="4"/>
      <c r="J54" s="4"/>
      <c r="K54" s="4">
        <f>J54+H54+F54</f>
        <v>0</v>
      </c>
    </row>
    <row r="55" spans="1:11" x14ac:dyDescent="0.35">
      <c r="A55" s="195"/>
      <c r="B55" s="44" t="s">
        <v>105</v>
      </c>
      <c r="C55" s="43" t="s">
        <v>9</v>
      </c>
      <c r="D55" s="48">
        <f>1.05*D54</f>
        <v>22.175999999999998</v>
      </c>
      <c r="E55" s="48"/>
      <c r="F55" s="48">
        <f>E55*D55</f>
        <v>0</v>
      </c>
      <c r="G55" s="48"/>
      <c r="H55" s="48"/>
      <c r="I55" s="48"/>
      <c r="J55" s="50"/>
      <c r="K55" s="4">
        <f t="shared" ref="K55:K59" si="14">J55+H55+F55</f>
        <v>0</v>
      </c>
    </row>
    <row r="56" spans="1:11" x14ac:dyDescent="0.35">
      <c r="A56" s="196"/>
      <c r="B56" s="44" t="s">
        <v>26</v>
      </c>
      <c r="C56" s="43" t="s">
        <v>10</v>
      </c>
      <c r="D56" s="48">
        <f>D54*0.3</f>
        <v>6.3359999999999994</v>
      </c>
      <c r="E56" s="48"/>
      <c r="F56" s="48">
        <f>E56*D56</f>
        <v>0</v>
      </c>
      <c r="G56" s="48"/>
      <c r="H56" s="48"/>
      <c r="I56" s="48"/>
      <c r="J56" s="50"/>
      <c r="K56" s="4">
        <f t="shared" si="14"/>
        <v>0</v>
      </c>
    </row>
    <row r="57" spans="1:11" ht="54" x14ac:dyDescent="0.35">
      <c r="A57" s="225">
        <v>9</v>
      </c>
      <c r="B57" s="32" t="s">
        <v>106</v>
      </c>
      <c r="C57" s="33" t="s">
        <v>8</v>
      </c>
      <c r="D57" s="60">
        <v>72</v>
      </c>
      <c r="E57" s="21"/>
      <c r="F57" s="4"/>
      <c r="G57" s="21"/>
      <c r="H57" s="4">
        <f t="shared" ref="H57" si="15">G57*D57</f>
        <v>0</v>
      </c>
      <c r="I57" s="21"/>
      <c r="J57" s="4">
        <f t="shared" ref="J57" si="16">I57*D57</f>
        <v>0</v>
      </c>
      <c r="K57" s="4">
        <f t="shared" si="14"/>
        <v>0</v>
      </c>
    </row>
    <row r="58" spans="1:11" x14ac:dyDescent="0.35">
      <c r="A58" s="226"/>
      <c r="B58" s="28" t="s">
        <v>45</v>
      </c>
      <c r="C58" s="17" t="s">
        <v>11</v>
      </c>
      <c r="D58" s="4">
        <f>0.45*D57</f>
        <v>32.4</v>
      </c>
      <c r="E58" s="4"/>
      <c r="F58" s="4">
        <f t="shared" ref="F58:F65" si="17">E58*D58</f>
        <v>0</v>
      </c>
      <c r="G58" s="4"/>
      <c r="H58" s="4"/>
      <c r="I58" s="4"/>
      <c r="J58" s="4"/>
      <c r="K58" s="4">
        <f t="shared" si="14"/>
        <v>0</v>
      </c>
    </row>
    <row r="59" spans="1:11" x14ac:dyDescent="0.35">
      <c r="A59" s="226"/>
      <c r="B59" s="28" t="s">
        <v>41</v>
      </c>
      <c r="C59" s="17" t="s">
        <v>8</v>
      </c>
      <c r="D59" s="30">
        <f>0.009*D57</f>
        <v>0.64799999999999991</v>
      </c>
      <c r="E59" s="4"/>
      <c r="F59" s="4">
        <f t="shared" si="17"/>
        <v>0</v>
      </c>
      <c r="G59" s="4"/>
      <c r="H59" s="4"/>
      <c r="I59" s="4"/>
      <c r="J59" s="4"/>
      <c r="K59" s="4">
        <f t="shared" si="14"/>
        <v>0</v>
      </c>
    </row>
    <row r="60" spans="1:11" x14ac:dyDescent="0.35">
      <c r="A60" s="226"/>
      <c r="B60" s="29" t="s">
        <v>98</v>
      </c>
      <c r="C60" s="17" t="s">
        <v>11</v>
      </c>
      <c r="D60" s="4">
        <f>D57*0.4</f>
        <v>28.8</v>
      </c>
      <c r="E60" s="4"/>
      <c r="F60" s="4">
        <f t="shared" si="17"/>
        <v>0</v>
      </c>
      <c r="G60" s="4"/>
      <c r="I60" s="4"/>
      <c r="J60" s="4"/>
      <c r="K60" s="4">
        <f>J60+G60+F60</f>
        <v>0</v>
      </c>
    </row>
    <row r="61" spans="1:11" x14ac:dyDescent="0.35">
      <c r="A61" s="226"/>
      <c r="B61" s="29" t="s">
        <v>65</v>
      </c>
      <c r="C61" s="17" t="s">
        <v>11</v>
      </c>
      <c r="D61" s="4">
        <f>0.12*D57</f>
        <v>8.64</v>
      </c>
      <c r="E61" s="4"/>
      <c r="F61" s="4">
        <f t="shared" si="17"/>
        <v>0</v>
      </c>
      <c r="G61" s="4"/>
      <c r="H61" s="4"/>
      <c r="I61" s="4"/>
      <c r="J61" s="4"/>
      <c r="K61" s="4">
        <f t="shared" ref="K61:K65" si="18">J61+H61+F61</f>
        <v>0</v>
      </c>
    </row>
    <row r="62" spans="1:11" x14ac:dyDescent="0.35">
      <c r="A62" s="226"/>
      <c r="B62" s="3" t="s">
        <v>46</v>
      </c>
      <c r="C62" s="17" t="s">
        <v>9</v>
      </c>
      <c r="D62" s="4">
        <f>0.6*D57</f>
        <v>43.199999999999996</v>
      </c>
      <c r="E62" s="4"/>
      <c r="F62" s="4">
        <f t="shared" si="17"/>
        <v>0</v>
      </c>
      <c r="G62" s="4"/>
      <c r="H62" s="4"/>
      <c r="I62" s="4"/>
      <c r="J62" s="4"/>
      <c r="K62" s="4">
        <f t="shared" si="18"/>
        <v>0</v>
      </c>
    </row>
    <row r="63" spans="1:11" x14ac:dyDescent="0.35">
      <c r="A63" s="226"/>
      <c r="B63" s="44" t="s">
        <v>69</v>
      </c>
      <c r="C63" s="43" t="s">
        <v>19</v>
      </c>
      <c r="D63" s="12">
        <v>4</v>
      </c>
      <c r="E63" s="48"/>
      <c r="F63" s="12">
        <f t="shared" si="17"/>
        <v>0</v>
      </c>
      <c r="G63" s="40"/>
      <c r="H63" s="40"/>
      <c r="I63" s="40"/>
      <c r="J63" s="41"/>
      <c r="K63" s="4">
        <f t="shared" si="18"/>
        <v>0</v>
      </c>
    </row>
    <row r="64" spans="1:11" x14ac:dyDescent="0.35">
      <c r="A64" s="226"/>
      <c r="B64" s="3" t="s">
        <v>43</v>
      </c>
      <c r="C64" s="17" t="s">
        <v>9</v>
      </c>
      <c r="D64" s="4">
        <f>0.26*D57</f>
        <v>18.72</v>
      </c>
      <c r="E64" s="4"/>
      <c r="F64" s="4">
        <f t="shared" si="17"/>
        <v>0</v>
      </c>
      <c r="G64" s="4"/>
      <c r="H64" s="4"/>
      <c r="I64" s="4"/>
      <c r="J64" s="4"/>
      <c r="K64" s="4">
        <f t="shared" si="18"/>
        <v>0</v>
      </c>
    </row>
    <row r="65" spans="1:11" x14ac:dyDescent="0.35">
      <c r="A65" s="226"/>
      <c r="B65" s="51" t="s">
        <v>66</v>
      </c>
      <c r="C65" s="52" t="s">
        <v>10</v>
      </c>
      <c r="D65" s="53">
        <f>D57*0.03</f>
        <v>2.16</v>
      </c>
      <c r="E65" s="53"/>
      <c r="F65" s="53">
        <f t="shared" si="17"/>
        <v>0</v>
      </c>
      <c r="G65" s="53"/>
      <c r="H65" s="53"/>
      <c r="I65" s="53"/>
      <c r="J65" s="53"/>
      <c r="K65" s="53">
        <f t="shared" si="18"/>
        <v>0</v>
      </c>
    </row>
    <row r="66" spans="1:11" ht="20.149999999999999" customHeight="1" x14ac:dyDescent="0.35">
      <c r="A66" s="128"/>
      <c r="B66" s="139" t="s">
        <v>218</v>
      </c>
      <c r="C66" s="129"/>
      <c r="D66" s="129"/>
      <c r="E66" s="129"/>
      <c r="F66" s="129"/>
      <c r="G66" s="129"/>
      <c r="H66" s="129"/>
      <c r="I66" s="129"/>
      <c r="J66" s="129"/>
      <c r="K66" s="129"/>
    </row>
    <row r="67" spans="1:11" ht="15" customHeight="1" x14ac:dyDescent="0.35">
      <c r="A67" s="89"/>
      <c r="B67" s="31" t="s">
        <v>108</v>
      </c>
      <c r="C67" s="89"/>
      <c r="D67" s="89"/>
      <c r="E67" s="2"/>
      <c r="F67" s="2"/>
      <c r="G67" s="2"/>
      <c r="H67" s="2"/>
      <c r="I67" s="2"/>
      <c r="J67" s="2"/>
      <c r="K67" s="2"/>
    </row>
    <row r="68" spans="1:11" ht="40.5" x14ac:dyDescent="0.35">
      <c r="A68" s="225">
        <v>1</v>
      </c>
      <c r="B68" s="32" t="s">
        <v>348</v>
      </c>
      <c r="C68" s="33" t="s">
        <v>8</v>
      </c>
      <c r="D68" s="60">
        <v>192</v>
      </c>
      <c r="E68" s="21"/>
      <c r="F68" s="4"/>
      <c r="G68" s="21"/>
      <c r="H68" s="4">
        <f t="shared" ref="H68" si="19">G68*D68</f>
        <v>0</v>
      </c>
      <c r="I68" s="21"/>
      <c r="J68" s="4">
        <f t="shared" ref="J68" si="20">I68*D68</f>
        <v>0</v>
      </c>
      <c r="K68" s="4">
        <f t="shared" ref="K68:K81" si="21">J68+H68+F68</f>
        <v>0</v>
      </c>
    </row>
    <row r="69" spans="1:11" ht="15" customHeight="1" x14ac:dyDescent="0.35">
      <c r="A69" s="226"/>
      <c r="B69" s="44" t="s">
        <v>39</v>
      </c>
      <c r="C69" s="43" t="s">
        <v>11</v>
      </c>
      <c r="D69" s="12">
        <f>0.45*D68</f>
        <v>86.4</v>
      </c>
      <c r="E69" s="48"/>
      <c r="F69" s="12">
        <f t="shared" ref="F69:F76" si="22">E69*D69</f>
        <v>0</v>
      </c>
      <c r="G69" s="40"/>
      <c r="H69" s="4"/>
      <c r="I69" s="40"/>
      <c r="J69" s="4"/>
      <c r="K69" s="4">
        <f t="shared" si="21"/>
        <v>0</v>
      </c>
    </row>
    <row r="70" spans="1:11" ht="15" customHeight="1" x14ac:dyDescent="0.35">
      <c r="A70" s="226"/>
      <c r="B70" s="29" t="s">
        <v>213</v>
      </c>
      <c r="C70" s="43" t="s">
        <v>11</v>
      </c>
      <c r="D70" s="12">
        <f>0.4*D68</f>
        <v>76.800000000000011</v>
      </c>
      <c r="E70" s="48"/>
      <c r="F70" s="12">
        <f t="shared" si="22"/>
        <v>0</v>
      </c>
      <c r="G70" s="40"/>
      <c r="H70" s="4"/>
      <c r="I70" s="40"/>
      <c r="J70" s="4"/>
      <c r="K70" s="4">
        <f t="shared" si="21"/>
        <v>0</v>
      </c>
    </row>
    <row r="71" spans="1:11" ht="15" customHeight="1" x14ac:dyDescent="0.35">
      <c r="A71" s="226"/>
      <c r="B71" s="44" t="s">
        <v>40</v>
      </c>
      <c r="C71" s="43" t="s">
        <v>11</v>
      </c>
      <c r="D71" s="12">
        <f>0.15*D68</f>
        <v>28.799999999999997</v>
      </c>
      <c r="E71" s="48"/>
      <c r="F71" s="12">
        <f t="shared" si="22"/>
        <v>0</v>
      </c>
      <c r="G71" s="40"/>
      <c r="H71" s="4"/>
      <c r="I71" s="40"/>
      <c r="J71" s="4"/>
      <c r="K71" s="4">
        <f t="shared" si="21"/>
        <v>0</v>
      </c>
    </row>
    <row r="72" spans="1:11" ht="15" customHeight="1" x14ac:dyDescent="0.35">
      <c r="A72" s="226"/>
      <c r="B72" s="44" t="s">
        <v>41</v>
      </c>
      <c r="C72" s="43" t="s">
        <v>8</v>
      </c>
      <c r="D72" s="12">
        <f>0.009*D68</f>
        <v>1.7279999999999998</v>
      </c>
      <c r="E72" s="48"/>
      <c r="F72" s="12">
        <f t="shared" si="22"/>
        <v>0</v>
      </c>
      <c r="G72" s="40"/>
      <c r="H72" s="4"/>
      <c r="I72" s="40"/>
      <c r="J72" s="4"/>
      <c r="K72" s="4">
        <f t="shared" si="21"/>
        <v>0</v>
      </c>
    </row>
    <row r="73" spans="1:11" ht="15" customHeight="1" x14ac:dyDescent="0.35">
      <c r="A73" s="226"/>
      <c r="B73" s="44" t="s">
        <v>42</v>
      </c>
      <c r="C73" s="43" t="s">
        <v>9</v>
      </c>
      <c r="D73" s="12">
        <f>0.4*D68</f>
        <v>76.800000000000011</v>
      </c>
      <c r="E73" s="48"/>
      <c r="F73" s="12">
        <f t="shared" si="22"/>
        <v>0</v>
      </c>
      <c r="G73" s="40"/>
      <c r="H73" s="4"/>
      <c r="I73" s="40"/>
      <c r="J73" s="4"/>
      <c r="K73" s="4">
        <f t="shared" si="21"/>
        <v>0</v>
      </c>
    </row>
    <row r="74" spans="1:11" ht="15" customHeight="1" x14ac:dyDescent="0.35">
      <c r="A74" s="226"/>
      <c r="B74" s="44" t="s">
        <v>69</v>
      </c>
      <c r="C74" s="43" t="s">
        <v>19</v>
      </c>
      <c r="D74" s="12">
        <v>3</v>
      </c>
      <c r="E74" s="48"/>
      <c r="F74" s="12">
        <f t="shared" si="22"/>
        <v>0</v>
      </c>
      <c r="G74" s="40"/>
      <c r="H74" s="40"/>
      <c r="I74" s="40"/>
      <c r="J74" s="41"/>
      <c r="K74" s="4">
        <f t="shared" si="21"/>
        <v>0</v>
      </c>
    </row>
    <row r="75" spans="1:11" ht="15" customHeight="1" x14ac:dyDescent="0.35">
      <c r="A75" s="226"/>
      <c r="B75" s="44" t="s">
        <v>43</v>
      </c>
      <c r="C75" s="43" t="s">
        <v>9</v>
      </c>
      <c r="D75" s="12">
        <f>0.3*D68</f>
        <v>57.599999999999994</v>
      </c>
      <c r="E75" s="48"/>
      <c r="F75" s="12">
        <f t="shared" si="22"/>
        <v>0</v>
      </c>
      <c r="G75" s="40"/>
      <c r="H75" s="4"/>
      <c r="I75" s="40"/>
      <c r="J75" s="4"/>
      <c r="K75" s="4">
        <f t="shared" si="21"/>
        <v>0</v>
      </c>
    </row>
    <row r="76" spans="1:11" ht="15" customHeight="1" x14ac:dyDescent="0.35">
      <c r="A76" s="226"/>
      <c r="B76" s="44" t="s">
        <v>44</v>
      </c>
      <c r="C76" s="43" t="s">
        <v>10</v>
      </c>
      <c r="D76" s="12">
        <f>D68*0.03</f>
        <v>5.76</v>
      </c>
      <c r="E76" s="48"/>
      <c r="F76" s="12">
        <f t="shared" si="22"/>
        <v>0</v>
      </c>
      <c r="G76" s="12"/>
      <c r="H76" s="4"/>
      <c r="I76" s="12"/>
      <c r="J76" s="4"/>
      <c r="K76" s="4">
        <f t="shared" si="21"/>
        <v>0</v>
      </c>
    </row>
    <row r="77" spans="1:11" ht="15" customHeight="1" x14ac:dyDescent="0.35">
      <c r="A77" s="230" t="s">
        <v>32</v>
      </c>
      <c r="B77" s="45" t="s">
        <v>109</v>
      </c>
      <c r="C77" s="37" t="s">
        <v>9</v>
      </c>
      <c r="D77" s="38">
        <v>32</v>
      </c>
      <c r="E77" s="12"/>
      <c r="F77" s="12"/>
      <c r="G77" s="12"/>
      <c r="H77" s="4">
        <f t="shared" ref="H77" si="23">G77*D77</f>
        <v>0</v>
      </c>
      <c r="I77" s="12"/>
      <c r="J77" s="4">
        <f t="shared" ref="J77" si="24">I77*D77</f>
        <v>0</v>
      </c>
      <c r="K77" s="4">
        <f t="shared" si="21"/>
        <v>0</v>
      </c>
    </row>
    <row r="78" spans="1:11" ht="15" customHeight="1" x14ac:dyDescent="0.35">
      <c r="A78" s="193"/>
      <c r="B78" s="44" t="s">
        <v>105</v>
      </c>
      <c r="C78" s="43" t="s">
        <v>83</v>
      </c>
      <c r="D78" s="48">
        <f>D77*0.2*1.1</f>
        <v>7.0400000000000009</v>
      </c>
      <c r="E78" s="48"/>
      <c r="F78" s="48">
        <f>E78*D78</f>
        <v>0</v>
      </c>
      <c r="G78" s="48"/>
      <c r="H78" s="48"/>
      <c r="I78" s="48"/>
      <c r="J78" s="50"/>
      <c r="K78" s="12">
        <f t="shared" si="21"/>
        <v>0</v>
      </c>
    </row>
    <row r="79" spans="1:11" ht="15" customHeight="1" x14ac:dyDescent="0.35">
      <c r="A79" s="186"/>
      <c r="B79" s="44" t="s">
        <v>26</v>
      </c>
      <c r="C79" s="43" t="s">
        <v>10</v>
      </c>
      <c r="D79" s="48">
        <f>D77*0.08</f>
        <v>2.56</v>
      </c>
      <c r="E79" s="48"/>
      <c r="F79" s="48">
        <f>E79*D79</f>
        <v>0</v>
      </c>
      <c r="G79" s="48"/>
      <c r="H79" s="48"/>
      <c r="I79" s="48"/>
      <c r="J79" s="50"/>
      <c r="K79" s="12">
        <f t="shared" si="21"/>
        <v>0</v>
      </c>
    </row>
    <row r="80" spans="1:11" x14ac:dyDescent="0.35">
      <c r="A80" s="57"/>
      <c r="B80" s="88" t="s">
        <v>110</v>
      </c>
      <c r="C80" s="57"/>
      <c r="D80" s="57"/>
      <c r="E80" s="57"/>
      <c r="F80" s="57"/>
      <c r="G80" s="57"/>
      <c r="H80" s="57"/>
      <c r="I80" s="57"/>
      <c r="J80" s="57"/>
      <c r="K80" s="12"/>
    </row>
    <row r="81" spans="1:11" ht="27" x14ac:dyDescent="0.35">
      <c r="A81" s="95">
        <v>1</v>
      </c>
      <c r="B81" s="46" t="s">
        <v>111</v>
      </c>
      <c r="C81" s="95" t="s">
        <v>23</v>
      </c>
      <c r="D81" s="96">
        <v>8.3000000000000007</v>
      </c>
      <c r="E81" s="47"/>
      <c r="F81" s="47"/>
      <c r="G81" s="47"/>
      <c r="H81" s="47">
        <f>G81*D81</f>
        <v>0</v>
      </c>
      <c r="I81" s="47"/>
      <c r="J81" s="47"/>
      <c r="K81" s="12">
        <f t="shared" si="21"/>
        <v>0</v>
      </c>
    </row>
    <row r="82" spans="1:11" x14ac:dyDescent="0.35">
      <c r="A82" s="90">
        <v>2</v>
      </c>
      <c r="B82" s="91" t="s">
        <v>113</v>
      </c>
      <c r="C82" s="90" t="s">
        <v>23</v>
      </c>
      <c r="D82" s="92">
        <v>5.3</v>
      </c>
      <c r="E82" s="94"/>
      <c r="F82" s="94"/>
      <c r="G82" s="93"/>
      <c r="H82" s="47">
        <f>G82*D82</f>
        <v>0</v>
      </c>
      <c r="I82" s="93"/>
      <c r="J82" s="93">
        <f>I82*D82</f>
        <v>0</v>
      </c>
      <c r="K82" s="93">
        <f>J82+H82+F82</f>
        <v>0</v>
      </c>
    </row>
    <row r="83" spans="1:11" x14ac:dyDescent="0.35">
      <c r="A83" s="224" t="s">
        <v>33</v>
      </c>
      <c r="B83" s="49" t="s">
        <v>61</v>
      </c>
      <c r="C83" s="37" t="s">
        <v>8</v>
      </c>
      <c r="D83" s="38">
        <v>3</v>
      </c>
      <c r="E83" s="39"/>
      <c r="F83" s="12"/>
      <c r="G83" s="21"/>
      <c r="H83" s="4">
        <f t="shared" ref="H83" si="25">G83*D83</f>
        <v>0</v>
      </c>
      <c r="I83" s="21"/>
      <c r="J83" s="4">
        <f>I83*D83</f>
        <v>0</v>
      </c>
      <c r="K83" s="4">
        <f t="shared" ref="K83:K93" si="26">J83+H83+F83</f>
        <v>0</v>
      </c>
    </row>
    <row r="84" spans="1:11" x14ac:dyDescent="0.35">
      <c r="A84" s="205"/>
      <c r="B84" s="69" t="s">
        <v>59</v>
      </c>
      <c r="C84" s="56" t="s">
        <v>11</v>
      </c>
      <c r="D84" s="21">
        <f>D83*6</f>
        <v>18</v>
      </c>
      <c r="E84" s="21"/>
      <c r="F84" s="4">
        <f t="shared" ref="F84:F86" si="27">E84*D84</f>
        <v>0</v>
      </c>
      <c r="G84" s="21"/>
      <c r="H84" s="4"/>
      <c r="I84" s="21"/>
      <c r="J84" s="4">
        <f t="shared" ref="J84" si="28">I84*D84</f>
        <v>0</v>
      </c>
      <c r="K84" s="4">
        <f t="shared" si="26"/>
        <v>0</v>
      </c>
    </row>
    <row r="85" spans="1:11" x14ac:dyDescent="0.35">
      <c r="A85" s="205"/>
      <c r="B85" s="22" t="s">
        <v>60</v>
      </c>
      <c r="C85" s="56" t="s">
        <v>11</v>
      </c>
      <c r="D85" s="21">
        <f>D83*0.18</f>
        <v>0.54</v>
      </c>
      <c r="E85" s="21"/>
      <c r="F85" s="4">
        <f t="shared" si="27"/>
        <v>0</v>
      </c>
      <c r="G85" s="21"/>
      <c r="H85" s="4"/>
      <c r="I85" s="21"/>
      <c r="J85" s="4"/>
      <c r="K85" s="4">
        <f t="shared" si="26"/>
        <v>0</v>
      </c>
    </row>
    <row r="86" spans="1:11" x14ac:dyDescent="0.35">
      <c r="A86" s="206"/>
      <c r="B86" s="70" t="s">
        <v>26</v>
      </c>
      <c r="C86" s="56" t="s">
        <v>10</v>
      </c>
      <c r="D86" s="21">
        <f>D83*0.08</f>
        <v>0.24</v>
      </c>
      <c r="E86" s="21"/>
      <c r="F86" s="4">
        <f t="shared" si="27"/>
        <v>0</v>
      </c>
      <c r="G86" s="21"/>
      <c r="H86" s="4"/>
      <c r="I86" s="21"/>
      <c r="J86" s="4"/>
      <c r="K86" s="4">
        <f t="shared" si="26"/>
        <v>0</v>
      </c>
    </row>
    <row r="87" spans="1:11" ht="27" x14ac:dyDescent="0.35">
      <c r="A87" s="229" t="s">
        <v>34</v>
      </c>
      <c r="B87" s="54" t="s">
        <v>114</v>
      </c>
      <c r="C87" s="37" t="s">
        <v>8</v>
      </c>
      <c r="D87" s="38">
        <v>3</v>
      </c>
      <c r="E87" s="39"/>
      <c r="F87" s="12"/>
      <c r="G87" s="12"/>
      <c r="H87" s="40">
        <f t="shared" ref="H87" si="29">G87*D87</f>
        <v>0</v>
      </c>
      <c r="I87" s="12"/>
      <c r="J87" s="41">
        <f t="shared" ref="J87" si="30">I87*D87</f>
        <v>0</v>
      </c>
      <c r="K87" s="40">
        <f t="shared" si="26"/>
        <v>0</v>
      </c>
    </row>
    <row r="88" spans="1:11" x14ac:dyDescent="0.35">
      <c r="A88" s="198"/>
      <c r="B88" s="55" t="s">
        <v>63</v>
      </c>
      <c r="C88" s="43" t="s">
        <v>8</v>
      </c>
      <c r="D88" s="12">
        <f>1.02*D87</f>
        <v>3.06</v>
      </c>
      <c r="E88" s="12"/>
      <c r="F88" s="12">
        <f t="shared" ref="F88:F93" si="31">E88*D88</f>
        <v>0</v>
      </c>
      <c r="G88" s="12"/>
      <c r="H88" s="40"/>
      <c r="I88" s="12"/>
      <c r="J88" s="41"/>
      <c r="K88" s="40">
        <f t="shared" si="26"/>
        <v>0</v>
      </c>
    </row>
    <row r="89" spans="1:11" s="112" customFormat="1" x14ac:dyDescent="0.35">
      <c r="A89" s="198"/>
      <c r="B89" s="165" t="s">
        <v>352</v>
      </c>
      <c r="C89" s="119" t="s">
        <v>9</v>
      </c>
      <c r="D89" s="21">
        <f>D87*2</f>
        <v>6</v>
      </c>
      <c r="E89" s="21"/>
      <c r="F89" s="116">
        <f t="shared" si="31"/>
        <v>0</v>
      </c>
      <c r="G89" s="108"/>
      <c r="H89" s="114"/>
      <c r="I89" s="21"/>
      <c r="J89" s="114"/>
      <c r="K89" s="40">
        <f t="shared" si="26"/>
        <v>0</v>
      </c>
    </row>
    <row r="90" spans="1:11" x14ac:dyDescent="0.35">
      <c r="A90" s="198"/>
      <c r="B90" s="22" t="s">
        <v>349</v>
      </c>
      <c r="C90" s="119" t="s">
        <v>11</v>
      </c>
      <c r="D90" s="21">
        <f>D87*0.4</f>
        <v>1.2000000000000002</v>
      </c>
      <c r="E90" s="21"/>
      <c r="F90" s="116">
        <f t="shared" si="31"/>
        <v>0</v>
      </c>
      <c r="G90" s="12"/>
      <c r="H90" s="40"/>
      <c r="I90" s="12"/>
      <c r="J90" s="41"/>
      <c r="K90" s="40">
        <f t="shared" si="26"/>
        <v>0</v>
      </c>
    </row>
    <row r="91" spans="1:11" s="112" customFormat="1" x14ac:dyDescent="0.35">
      <c r="A91" s="198"/>
      <c r="B91" s="22" t="s">
        <v>350</v>
      </c>
      <c r="C91" s="119" t="s">
        <v>11</v>
      </c>
      <c r="D91" s="21">
        <f>D87*0.1</f>
        <v>0.30000000000000004</v>
      </c>
      <c r="E91" s="21"/>
      <c r="F91" s="116">
        <f t="shared" si="31"/>
        <v>0</v>
      </c>
      <c r="G91" s="116"/>
      <c r="H91" s="40"/>
      <c r="I91" s="116"/>
      <c r="J91" s="41"/>
      <c r="K91" s="40">
        <f t="shared" si="26"/>
        <v>0</v>
      </c>
    </row>
    <row r="92" spans="1:11" x14ac:dyDescent="0.35">
      <c r="A92" s="198"/>
      <c r="B92" s="22" t="s">
        <v>351</v>
      </c>
      <c r="C92" s="119" t="s">
        <v>11</v>
      </c>
      <c r="D92" s="21">
        <f>D87*0.35</f>
        <v>1.0499999999999998</v>
      </c>
      <c r="E92" s="21"/>
      <c r="F92" s="116">
        <f t="shared" si="31"/>
        <v>0</v>
      </c>
      <c r="G92" s="12"/>
      <c r="H92" s="40"/>
      <c r="I92" s="12"/>
      <c r="J92" s="41"/>
      <c r="K92" s="40">
        <f t="shared" si="26"/>
        <v>0</v>
      </c>
    </row>
    <row r="93" spans="1:11" x14ac:dyDescent="0.35">
      <c r="A93" s="199"/>
      <c r="B93" s="44" t="s">
        <v>26</v>
      </c>
      <c r="C93" s="11" t="s">
        <v>10</v>
      </c>
      <c r="D93" s="12">
        <f>D87*0.02</f>
        <v>0.06</v>
      </c>
      <c r="E93" s="12"/>
      <c r="F93" s="116">
        <f t="shared" si="31"/>
        <v>0</v>
      </c>
      <c r="G93" s="12"/>
      <c r="H93" s="40"/>
      <c r="I93" s="12"/>
      <c r="J93" s="41"/>
      <c r="K93" s="40">
        <f t="shared" si="26"/>
        <v>0</v>
      </c>
    </row>
    <row r="94" spans="1:11" x14ac:dyDescent="0.35">
      <c r="A94" s="229" t="s">
        <v>112</v>
      </c>
      <c r="B94" s="36" t="s">
        <v>115</v>
      </c>
      <c r="C94" s="37" t="s">
        <v>8</v>
      </c>
      <c r="D94" s="38">
        <v>5.3</v>
      </c>
      <c r="E94" s="57"/>
      <c r="F94" s="12"/>
      <c r="G94" s="12"/>
      <c r="H94" s="40">
        <f t="shared" ref="H94" si="32">G94*D94</f>
        <v>0</v>
      </c>
      <c r="I94" s="12"/>
      <c r="J94" s="41">
        <f t="shared" ref="J94" si="33">I94*D94</f>
        <v>0</v>
      </c>
      <c r="K94" s="40">
        <f>J94+H94+F94</f>
        <v>0</v>
      </c>
    </row>
    <row r="95" spans="1:11" x14ac:dyDescent="0.35">
      <c r="A95" s="198"/>
      <c r="B95" s="42" t="s">
        <v>47</v>
      </c>
      <c r="C95" s="43" t="s">
        <v>28</v>
      </c>
      <c r="D95" s="12">
        <f>0.05*D94</f>
        <v>0.26500000000000001</v>
      </c>
      <c r="E95" s="116"/>
      <c r="F95" s="12">
        <f>E95*D95</f>
        <v>0</v>
      </c>
      <c r="G95" s="12"/>
      <c r="H95" s="40"/>
      <c r="I95" s="12"/>
      <c r="J95" s="41"/>
      <c r="K95" s="40">
        <f>J95+H95+F95</f>
        <v>0</v>
      </c>
    </row>
    <row r="96" spans="1:11" x14ac:dyDescent="0.35">
      <c r="A96" s="198"/>
      <c r="B96" s="42" t="s">
        <v>48</v>
      </c>
      <c r="C96" s="43" t="s">
        <v>29</v>
      </c>
      <c r="D96" s="12">
        <f>0.0124*D94</f>
        <v>6.5720000000000001E-2</v>
      </c>
      <c r="E96" s="116"/>
      <c r="F96" s="12">
        <f t="shared" ref="F96:F97" si="34">E96*D96</f>
        <v>0</v>
      </c>
      <c r="G96" s="12"/>
      <c r="H96" s="40"/>
      <c r="I96" s="12"/>
      <c r="J96" s="41"/>
      <c r="K96" s="40">
        <f>J96+H96+F96</f>
        <v>0</v>
      </c>
    </row>
    <row r="97" spans="1:11" x14ac:dyDescent="0.35">
      <c r="A97" s="199"/>
      <c r="B97" s="44" t="s">
        <v>26</v>
      </c>
      <c r="C97" s="43" t="s">
        <v>10</v>
      </c>
      <c r="D97" s="12">
        <f>D94*0.2</f>
        <v>1.06</v>
      </c>
      <c r="E97" s="116"/>
      <c r="F97" s="12">
        <f t="shared" si="34"/>
        <v>0</v>
      </c>
      <c r="G97" s="12"/>
      <c r="H97" s="40"/>
      <c r="I97" s="12"/>
      <c r="J97" s="41"/>
      <c r="K97" s="40">
        <f>J97+H97+F97</f>
        <v>0</v>
      </c>
    </row>
    <row r="98" spans="1:11" x14ac:dyDescent="0.35">
      <c r="A98" s="230" t="s">
        <v>62</v>
      </c>
      <c r="B98" s="45" t="s">
        <v>118</v>
      </c>
      <c r="C98" s="37" t="s">
        <v>8</v>
      </c>
      <c r="D98" s="38">
        <v>5.3</v>
      </c>
      <c r="E98" s="39"/>
      <c r="F98" s="12"/>
      <c r="G98" s="12"/>
      <c r="H98" s="40">
        <f t="shared" ref="H98" si="35">G98*D98</f>
        <v>0</v>
      </c>
      <c r="I98" s="12"/>
      <c r="J98" s="41">
        <f t="shared" ref="J98:J100" si="36">I98*D98</f>
        <v>0</v>
      </c>
      <c r="K98" s="40">
        <f t="shared" ref="K98:K103" si="37">J98+H98+F98</f>
        <v>0</v>
      </c>
    </row>
    <row r="99" spans="1:11" x14ac:dyDescent="0.35">
      <c r="A99" s="193"/>
      <c r="B99" s="44" t="s">
        <v>116</v>
      </c>
      <c r="C99" s="43" t="s">
        <v>8</v>
      </c>
      <c r="D99" s="12">
        <f>1.05*D98</f>
        <v>5.5650000000000004</v>
      </c>
      <c r="E99" s="12"/>
      <c r="F99" s="12">
        <f t="shared" ref="F99:F103" si="38">E99*D99</f>
        <v>0</v>
      </c>
      <c r="G99" s="12"/>
      <c r="H99" s="40"/>
      <c r="I99" s="12"/>
      <c r="J99" s="41">
        <f t="shared" si="36"/>
        <v>0</v>
      </c>
      <c r="K99" s="40">
        <f t="shared" si="37"/>
        <v>0</v>
      </c>
    </row>
    <row r="100" spans="1:11" x14ac:dyDescent="0.35">
      <c r="A100" s="193"/>
      <c r="B100" s="44" t="s">
        <v>58</v>
      </c>
      <c r="C100" s="43" t="s">
        <v>11</v>
      </c>
      <c r="D100" s="12">
        <f>6*D98</f>
        <v>31.799999999999997</v>
      </c>
      <c r="E100" s="12"/>
      <c r="F100" s="12">
        <f t="shared" si="38"/>
        <v>0</v>
      </c>
      <c r="G100" s="12"/>
      <c r="H100" s="40"/>
      <c r="I100" s="12"/>
      <c r="J100" s="41">
        <f t="shared" si="36"/>
        <v>0</v>
      </c>
      <c r="K100" s="40">
        <f t="shared" si="37"/>
        <v>0</v>
      </c>
    </row>
    <row r="101" spans="1:11" x14ac:dyDescent="0.35">
      <c r="A101" s="193"/>
      <c r="B101" s="22" t="s">
        <v>67</v>
      </c>
      <c r="C101" s="56" t="s">
        <v>38</v>
      </c>
      <c r="D101" s="21">
        <f>D98*0.1</f>
        <v>0.53</v>
      </c>
      <c r="E101" s="21"/>
      <c r="F101" s="4">
        <f t="shared" si="38"/>
        <v>0</v>
      </c>
      <c r="G101" s="21"/>
      <c r="H101" s="4"/>
      <c r="I101" s="21"/>
      <c r="J101" s="4"/>
      <c r="K101" s="4">
        <f t="shared" si="37"/>
        <v>0</v>
      </c>
    </row>
    <row r="102" spans="1:11" x14ac:dyDescent="0.35">
      <c r="A102" s="193"/>
      <c r="B102" s="44" t="s">
        <v>117</v>
      </c>
      <c r="C102" s="43" t="s">
        <v>11</v>
      </c>
      <c r="D102" s="12">
        <f>0.04*D98</f>
        <v>0.21199999999999999</v>
      </c>
      <c r="E102" s="12"/>
      <c r="F102" s="12">
        <f t="shared" si="38"/>
        <v>0</v>
      </c>
      <c r="G102" s="12"/>
      <c r="H102" s="40"/>
      <c r="I102" s="12"/>
      <c r="J102" s="41"/>
      <c r="K102" s="40">
        <f t="shared" si="37"/>
        <v>0</v>
      </c>
    </row>
    <row r="103" spans="1:11" x14ac:dyDescent="0.35">
      <c r="A103" s="186"/>
      <c r="B103" s="44" t="s">
        <v>26</v>
      </c>
      <c r="C103" s="43" t="s">
        <v>10</v>
      </c>
      <c r="D103" s="12">
        <f>(D98)*0.03</f>
        <v>0.159</v>
      </c>
      <c r="E103" s="12"/>
      <c r="F103" s="12">
        <f t="shared" si="38"/>
        <v>0</v>
      </c>
      <c r="G103" s="12"/>
      <c r="H103" s="40"/>
      <c r="I103" s="12"/>
      <c r="J103" s="41"/>
      <c r="K103" s="40">
        <f t="shared" si="37"/>
        <v>0</v>
      </c>
    </row>
    <row r="104" spans="1:11" x14ac:dyDescent="0.35">
      <c r="A104" s="230" t="s">
        <v>35</v>
      </c>
      <c r="B104" s="45" t="s">
        <v>119</v>
      </c>
      <c r="C104" s="37" t="s">
        <v>9</v>
      </c>
      <c r="D104" s="38">
        <v>4.5999999999999996</v>
      </c>
      <c r="E104" s="39"/>
      <c r="F104" s="12"/>
      <c r="G104" s="12"/>
      <c r="H104" s="40">
        <f t="shared" ref="H104" si="39">G104*D104</f>
        <v>0</v>
      </c>
      <c r="I104" s="12"/>
      <c r="J104" s="41">
        <f t="shared" ref="J104:J106" si="40">I104*D104</f>
        <v>0</v>
      </c>
      <c r="K104" s="40">
        <f t="shared" ref="K104:K111" si="41">J104+H104+F104</f>
        <v>0</v>
      </c>
    </row>
    <row r="105" spans="1:11" x14ac:dyDescent="0.35">
      <c r="A105" s="193"/>
      <c r="B105" s="44" t="s">
        <v>116</v>
      </c>
      <c r="C105" s="43" t="s">
        <v>8</v>
      </c>
      <c r="D105" s="12">
        <f>D104*0.08</f>
        <v>0.36799999999999999</v>
      </c>
      <c r="E105" s="12"/>
      <c r="F105" s="12">
        <f t="shared" ref="F105:F108" si="42">E105*D105</f>
        <v>0</v>
      </c>
      <c r="G105" s="12"/>
      <c r="H105" s="40"/>
      <c r="I105" s="12"/>
      <c r="J105" s="41">
        <f t="shared" si="40"/>
        <v>0</v>
      </c>
      <c r="K105" s="40">
        <f t="shared" si="41"/>
        <v>0</v>
      </c>
    </row>
    <row r="106" spans="1:11" x14ac:dyDescent="0.35">
      <c r="A106" s="193"/>
      <c r="B106" s="44" t="s">
        <v>58</v>
      </c>
      <c r="C106" s="43" t="s">
        <v>11</v>
      </c>
      <c r="D106" s="12">
        <f>6*D104</f>
        <v>27.599999999999998</v>
      </c>
      <c r="E106" s="12"/>
      <c r="F106" s="12">
        <f t="shared" si="42"/>
        <v>0</v>
      </c>
      <c r="G106" s="12"/>
      <c r="H106" s="40"/>
      <c r="I106" s="12"/>
      <c r="J106" s="41">
        <f t="shared" si="40"/>
        <v>0</v>
      </c>
      <c r="K106" s="40">
        <f t="shared" si="41"/>
        <v>0</v>
      </c>
    </row>
    <row r="107" spans="1:11" x14ac:dyDescent="0.35">
      <c r="A107" s="193"/>
      <c r="B107" s="44" t="s">
        <v>117</v>
      </c>
      <c r="C107" s="43" t="s">
        <v>11</v>
      </c>
      <c r="D107" s="12">
        <f>0.04*D104</f>
        <v>0.184</v>
      </c>
      <c r="E107" s="12"/>
      <c r="F107" s="12">
        <f t="shared" si="42"/>
        <v>0</v>
      </c>
      <c r="G107" s="12"/>
      <c r="H107" s="40"/>
      <c r="I107" s="12"/>
      <c r="J107" s="41"/>
      <c r="K107" s="40">
        <f t="shared" si="41"/>
        <v>0</v>
      </c>
    </row>
    <row r="108" spans="1:11" x14ac:dyDescent="0.35">
      <c r="A108" s="186"/>
      <c r="B108" s="44" t="s">
        <v>26</v>
      </c>
      <c r="C108" s="43" t="s">
        <v>10</v>
      </c>
      <c r="D108" s="12">
        <f>(D104)*0.03</f>
        <v>0.13799999999999998</v>
      </c>
      <c r="E108" s="12"/>
      <c r="F108" s="12">
        <f t="shared" si="42"/>
        <v>0</v>
      </c>
      <c r="G108" s="12"/>
      <c r="H108" s="40"/>
      <c r="I108" s="12"/>
      <c r="J108" s="41"/>
      <c r="K108" s="40">
        <f t="shared" si="41"/>
        <v>0</v>
      </c>
    </row>
    <row r="109" spans="1:11" ht="27" x14ac:dyDescent="0.35">
      <c r="A109" s="225">
        <v>8</v>
      </c>
      <c r="B109" s="32" t="s">
        <v>68</v>
      </c>
      <c r="C109" s="33" t="s">
        <v>8</v>
      </c>
      <c r="D109" s="60">
        <v>91</v>
      </c>
      <c r="E109" s="21"/>
      <c r="F109" s="4"/>
      <c r="G109" s="21"/>
      <c r="H109" s="4">
        <f t="shared" ref="H109" si="43">G109*D109</f>
        <v>0</v>
      </c>
      <c r="I109" s="21"/>
      <c r="J109" s="4">
        <f t="shared" ref="J109" si="44">I109*D109</f>
        <v>0</v>
      </c>
      <c r="K109" s="4">
        <f t="shared" si="41"/>
        <v>0</v>
      </c>
    </row>
    <row r="110" spans="1:11" x14ac:dyDescent="0.35">
      <c r="A110" s="226"/>
      <c r="B110" s="28" t="s">
        <v>45</v>
      </c>
      <c r="C110" s="17" t="s">
        <v>11</v>
      </c>
      <c r="D110" s="4">
        <f>0.45*D109</f>
        <v>40.950000000000003</v>
      </c>
      <c r="E110" s="4"/>
      <c r="F110" s="4">
        <f t="shared" ref="F110:F117" si="45">E110*D110</f>
        <v>0</v>
      </c>
      <c r="G110" s="4"/>
      <c r="H110" s="4"/>
      <c r="I110" s="4"/>
      <c r="J110" s="4"/>
      <c r="K110" s="4">
        <f t="shared" si="41"/>
        <v>0</v>
      </c>
    </row>
    <row r="111" spans="1:11" x14ac:dyDescent="0.35">
      <c r="A111" s="226"/>
      <c r="B111" s="28" t="s">
        <v>41</v>
      </c>
      <c r="C111" s="17" t="s">
        <v>8</v>
      </c>
      <c r="D111" s="30">
        <f>0.009*D109</f>
        <v>0.81899999999999995</v>
      </c>
      <c r="E111" s="4"/>
      <c r="F111" s="4">
        <f t="shared" si="45"/>
        <v>0</v>
      </c>
      <c r="G111" s="4"/>
      <c r="H111" s="4"/>
      <c r="I111" s="4"/>
      <c r="J111" s="4"/>
      <c r="K111" s="4">
        <f t="shared" si="41"/>
        <v>0</v>
      </c>
    </row>
    <row r="112" spans="1:11" x14ac:dyDescent="0.35">
      <c r="A112" s="226"/>
      <c r="B112" s="29" t="s">
        <v>98</v>
      </c>
      <c r="C112" s="17" t="s">
        <v>11</v>
      </c>
      <c r="D112" s="4">
        <f>D109*0.4</f>
        <v>36.4</v>
      </c>
      <c r="E112" s="4"/>
      <c r="F112" s="4">
        <f t="shared" si="45"/>
        <v>0</v>
      </c>
      <c r="G112" s="4"/>
      <c r="I112" s="4"/>
      <c r="J112" s="4"/>
      <c r="K112" s="4">
        <f>J112+G112+F112</f>
        <v>0</v>
      </c>
    </row>
    <row r="113" spans="1:11" x14ac:dyDescent="0.35">
      <c r="A113" s="226"/>
      <c r="B113" s="29" t="s">
        <v>65</v>
      </c>
      <c r="C113" s="17" t="s">
        <v>11</v>
      </c>
      <c r="D113" s="4">
        <f>0.12*D109</f>
        <v>10.92</v>
      </c>
      <c r="E113" s="4"/>
      <c r="F113" s="4">
        <f t="shared" si="45"/>
        <v>0</v>
      </c>
      <c r="G113" s="4"/>
      <c r="H113" s="4"/>
      <c r="I113" s="4"/>
      <c r="J113" s="4"/>
      <c r="K113" s="4">
        <f t="shared" ref="K113:K119" si="46">J113+H113+F113</f>
        <v>0</v>
      </c>
    </row>
    <row r="114" spans="1:11" x14ac:dyDescent="0.35">
      <c r="A114" s="226"/>
      <c r="B114" s="3" t="s">
        <v>46</v>
      </c>
      <c r="C114" s="17" t="s">
        <v>9</v>
      </c>
      <c r="D114" s="4">
        <f>0.6*D109</f>
        <v>54.6</v>
      </c>
      <c r="E114" s="4"/>
      <c r="F114" s="4">
        <f t="shared" si="45"/>
        <v>0</v>
      </c>
      <c r="G114" s="4"/>
      <c r="H114" s="4"/>
      <c r="I114" s="4"/>
      <c r="J114" s="4"/>
      <c r="K114" s="4">
        <f t="shared" si="46"/>
        <v>0</v>
      </c>
    </row>
    <row r="115" spans="1:11" x14ac:dyDescent="0.35">
      <c r="A115" s="226"/>
      <c r="B115" s="44" t="s">
        <v>69</v>
      </c>
      <c r="C115" s="43" t="s">
        <v>19</v>
      </c>
      <c r="D115" s="12">
        <v>4</v>
      </c>
      <c r="E115" s="48"/>
      <c r="F115" s="12">
        <f t="shared" si="45"/>
        <v>0</v>
      </c>
      <c r="G115" s="40"/>
      <c r="H115" s="40"/>
      <c r="I115" s="40"/>
      <c r="J115" s="41"/>
      <c r="K115" s="4">
        <f t="shared" si="46"/>
        <v>0</v>
      </c>
    </row>
    <row r="116" spans="1:11" x14ac:dyDescent="0.35">
      <c r="A116" s="226"/>
      <c r="B116" s="3" t="s">
        <v>43</v>
      </c>
      <c r="C116" s="17" t="s">
        <v>9</v>
      </c>
      <c r="D116" s="4">
        <f>0.26*D109</f>
        <v>23.66</v>
      </c>
      <c r="E116" s="4"/>
      <c r="F116" s="4">
        <f t="shared" si="45"/>
        <v>0</v>
      </c>
      <c r="G116" s="4"/>
      <c r="H116" s="4"/>
      <c r="I116" s="4"/>
      <c r="J116" s="4"/>
      <c r="K116" s="4">
        <f t="shared" si="46"/>
        <v>0</v>
      </c>
    </row>
    <row r="117" spans="1:11" x14ac:dyDescent="0.35">
      <c r="A117" s="226"/>
      <c r="B117" s="3" t="s">
        <v>66</v>
      </c>
      <c r="C117" s="17" t="s">
        <v>10</v>
      </c>
      <c r="D117" s="4">
        <f>D109*0.03</f>
        <v>2.73</v>
      </c>
      <c r="E117" s="4"/>
      <c r="F117" s="4">
        <f t="shared" si="45"/>
        <v>0</v>
      </c>
      <c r="G117" s="4"/>
      <c r="H117" s="4"/>
      <c r="I117" s="4"/>
      <c r="J117" s="4"/>
      <c r="K117" s="4">
        <f t="shared" si="46"/>
        <v>0</v>
      </c>
    </row>
    <row r="118" spans="1:11" x14ac:dyDescent="0.35">
      <c r="A118" s="82"/>
      <c r="B118" s="88" t="s">
        <v>120</v>
      </c>
      <c r="C118" s="11"/>
      <c r="D118" s="12"/>
      <c r="E118" s="12"/>
      <c r="F118" s="12"/>
      <c r="G118" s="12"/>
      <c r="H118" s="40"/>
      <c r="I118" s="12"/>
      <c r="J118" s="41"/>
      <c r="K118" s="4"/>
    </row>
    <row r="119" spans="1:11" ht="27" x14ac:dyDescent="0.35">
      <c r="A119" s="95">
        <v>1</v>
      </c>
      <c r="B119" s="46" t="s">
        <v>121</v>
      </c>
      <c r="C119" s="95" t="s">
        <v>23</v>
      </c>
      <c r="D119" s="96">
        <v>3</v>
      </c>
      <c r="E119" s="47"/>
      <c r="F119" s="47"/>
      <c r="G119" s="47"/>
      <c r="H119" s="47">
        <f>G119*D119</f>
        <v>0</v>
      </c>
      <c r="I119" s="47"/>
      <c r="J119" s="47"/>
      <c r="K119" s="4">
        <f t="shared" si="46"/>
        <v>0</v>
      </c>
    </row>
    <row r="120" spans="1:11" x14ac:dyDescent="0.35">
      <c r="A120" s="90">
        <v>2</v>
      </c>
      <c r="B120" s="91" t="s">
        <v>113</v>
      </c>
      <c r="C120" s="90" t="s">
        <v>23</v>
      </c>
      <c r="D120" s="92">
        <v>3</v>
      </c>
      <c r="E120" s="94"/>
      <c r="F120" s="94"/>
      <c r="G120" s="93"/>
      <c r="H120" s="47">
        <f>G120*D120</f>
        <v>0</v>
      </c>
      <c r="I120" s="93"/>
      <c r="J120" s="93">
        <f>I120*D120</f>
        <v>0</v>
      </c>
      <c r="K120" s="93">
        <f>J120+H120+F120</f>
        <v>0</v>
      </c>
    </row>
    <row r="121" spans="1:11" x14ac:dyDescent="0.35">
      <c r="A121" s="229" t="s">
        <v>33</v>
      </c>
      <c r="B121" s="36" t="s">
        <v>115</v>
      </c>
      <c r="C121" s="37" t="s">
        <v>8</v>
      </c>
      <c r="D121" s="38">
        <v>3</v>
      </c>
      <c r="E121" s="57"/>
      <c r="F121" s="12"/>
      <c r="G121" s="12"/>
      <c r="H121" s="40">
        <f t="shared" ref="H121" si="47">G121*D121</f>
        <v>0</v>
      </c>
      <c r="I121" s="12"/>
      <c r="J121" s="41">
        <f t="shared" ref="J121" si="48">I121*D121</f>
        <v>0</v>
      </c>
      <c r="K121" s="40">
        <f>J121+H121+F121</f>
        <v>0</v>
      </c>
    </row>
    <row r="122" spans="1:11" x14ac:dyDescent="0.35">
      <c r="A122" s="198"/>
      <c r="B122" s="42" t="s">
        <v>47</v>
      </c>
      <c r="C122" s="43" t="s">
        <v>28</v>
      </c>
      <c r="D122" s="12">
        <f>0.05*D121</f>
        <v>0.15000000000000002</v>
      </c>
      <c r="E122" s="116"/>
      <c r="F122" s="12">
        <f>E122*D122</f>
        <v>0</v>
      </c>
      <c r="G122" s="12"/>
      <c r="H122" s="40"/>
      <c r="I122" s="12"/>
      <c r="J122" s="41"/>
      <c r="K122" s="40">
        <f>J122+H122+F122</f>
        <v>0</v>
      </c>
    </row>
    <row r="123" spans="1:11" x14ac:dyDescent="0.35">
      <c r="A123" s="198"/>
      <c r="B123" s="42" t="s">
        <v>48</v>
      </c>
      <c r="C123" s="43" t="s">
        <v>29</v>
      </c>
      <c r="D123" s="12">
        <f>0.0124*D121</f>
        <v>3.7199999999999997E-2</v>
      </c>
      <c r="E123" s="116"/>
      <c r="F123" s="12">
        <f t="shared" ref="F123:F124" si="49">E123*D123</f>
        <v>0</v>
      </c>
      <c r="G123" s="12"/>
      <c r="H123" s="40"/>
      <c r="I123" s="12"/>
      <c r="J123" s="41"/>
      <c r="K123" s="40">
        <f>J123+H123+F123</f>
        <v>0</v>
      </c>
    </row>
    <row r="124" spans="1:11" x14ac:dyDescent="0.35">
      <c r="A124" s="199"/>
      <c r="B124" s="44" t="s">
        <v>26</v>
      </c>
      <c r="C124" s="43" t="s">
        <v>10</v>
      </c>
      <c r="D124" s="12">
        <f>D121*0.2</f>
        <v>0.60000000000000009</v>
      </c>
      <c r="E124" s="116"/>
      <c r="F124" s="12">
        <f t="shared" si="49"/>
        <v>0</v>
      </c>
      <c r="G124" s="12"/>
      <c r="H124" s="40"/>
      <c r="I124" s="12"/>
      <c r="J124" s="41"/>
      <c r="K124" s="40">
        <f>J124+H124+F124</f>
        <v>0</v>
      </c>
    </row>
    <row r="125" spans="1:11" x14ac:dyDescent="0.35">
      <c r="A125" s="224" t="s">
        <v>34</v>
      </c>
      <c r="B125" s="49" t="s">
        <v>61</v>
      </c>
      <c r="C125" s="37" t="s">
        <v>8</v>
      </c>
      <c r="D125" s="38">
        <v>3</v>
      </c>
      <c r="E125" s="39"/>
      <c r="F125" s="12"/>
      <c r="G125" s="21"/>
      <c r="H125" s="4">
        <f t="shared" ref="H125" si="50">G125*D125</f>
        <v>0</v>
      </c>
      <c r="I125" s="21"/>
      <c r="J125" s="4">
        <f>I125*D125</f>
        <v>0</v>
      </c>
      <c r="K125" s="4">
        <f t="shared" ref="K125:K138" si="51">J125+H125+F125</f>
        <v>0</v>
      </c>
    </row>
    <row r="126" spans="1:11" x14ac:dyDescent="0.35">
      <c r="A126" s="205"/>
      <c r="B126" s="69" t="s">
        <v>59</v>
      </c>
      <c r="C126" s="56" t="s">
        <v>11</v>
      </c>
      <c r="D126" s="21">
        <f>D125*6</f>
        <v>18</v>
      </c>
      <c r="E126" s="21"/>
      <c r="F126" s="4">
        <f t="shared" ref="F126:F128" si="52">E126*D126</f>
        <v>0</v>
      </c>
      <c r="G126" s="21"/>
      <c r="H126" s="4"/>
      <c r="I126" s="21"/>
      <c r="J126" s="4">
        <f t="shared" ref="J126" si="53">I126*D126</f>
        <v>0</v>
      </c>
      <c r="K126" s="4">
        <f t="shared" si="51"/>
        <v>0</v>
      </c>
    </row>
    <row r="127" spans="1:11" x14ac:dyDescent="0.35">
      <c r="A127" s="205"/>
      <c r="B127" s="22" t="s">
        <v>60</v>
      </c>
      <c r="C127" s="56" t="s">
        <v>11</v>
      </c>
      <c r="D127" s="21">
        <f>D125*0.18</f>
        <v>0.54</v>
      </c>
      <c r="E127" s="21"/>
      <c r="F127" s="4">
        <f t="shared" si="52"/>
        <v>0</v>
      </c>
      <c r="G127" s="21"/>
      <c r="H127" s="4"/>
      <c r="I127" s="21"/>
      <c r="J127" s="4"/>
      <c r="K127" s="4">
        <f t="shared" si="51"/>
        <v>0</v>
      </c>
    </row>
    <row r="128" spans="1:11" x14ac:dyDescent="0.35">
      <c r="A128" s="206"/>
      <c r="B128" s="70" t="s">
        <v>26</v>
      </c>
      <c r="C128" s="56" t="s">
        <v>10</v>
      </c>
      <c r="D128" s="21">
        <f>D125*0.08</f>
        <v>0.24</v>
      </c>
      <c r="E128" s="21"/>
      <c r="F128" s="4">
        <f t="shared" si="52"/>
        <v>0</v>
      </c>
      <c r="G128" s="21"/>
      <c r="H128" s="4"/>
      <c r="I128" s="21"/>
      <c r="J128" s="4"/>
      <c r="K128" s="4">
        <f t="shared" si="51"/>
        <v>0</v>
      </c>
    </row>
    <row r="129" spans="1:11" ht="27" x14ac:dyDescent="0.35">
      <c r="A129" s="229" t="s">
        <v>112</v>
      </c>
      <c r="B129" s="54" t="s">
        <v>114</v>
      </c>
      <c r="C129" s="37" t="s">
        <v>8</v>
      </c>
      <c r="D129" s="38">
        <v>3</v>
      </c>
      <c r="E129" s="39"/>
      <c r="F129" s="12"/>
      <c r="G129" s="12"/>
      <c r="H129" s="40">
        <f t="shared" ref="H129" si="54">G129*D129</f>
        <v>0</v>
      </c>
      <c r="I129" s="12"/>
      <c r="J129" s="41">
        <f t="shared" ref="J129" si="55">I129*D129</f>
        <v>0</v>
      </c>
      <c r="K129" s="40">
        <f t="shared" si="51"/>
        <v>0</v>
      </c>
    </row>
    <row r="130" spans="1:11" x14ac:dyDescent="0.35">
      <c r="A130" s="198"/>
      <c r="B130" s="55" t="s">
        <v>63</v>
      </c>
      <c r="C130" s="43" t="s">
        <v>8</v>
      </c>
      <c r="D130" s="12">
        <f>1.02*D129</f>
        <v>3.06</v>
      </c>
      <c r="E130" s="12"/>
      <c r="F130" s="12">
        <f t="shared" ref="F130:F135" si="56">E130*D130</f>
        <v>0</v>
      </c>
      <c r="G130" s="12"/>
      <c r="H130" s="40"/>
      <c r="I130" s="12"/>
      <c r="J130" s="41"/>
      <c r="K130" s="40">
        <f t="shared" si="51"/>
        <v>0</v>
      </c>
    </row>
    <row r="131" spans="1:11" s="112" customFormat="1" x14ac:dyDescent="0.35">
      <c r="A131" s="198"/>
      <c r="B131" s="165" t="s">
        <v>352</v>
      </c>
      <c r="C131" s="119" t="s">
        <v>9</v>
      </c>
      <c r="D131" s="21">
        <f>D129*2</f>
        <v>6</v>
      </c>
      <c r="E131" s="21"/>
      <c r="F131" s="116">
        <f t="shared" si="56"/>
        <v>0</v>
      </c>
      <c r="G131" s="116"/>
      <c r="H131" s="40"/>
      <c r="I131" s="116"/>
      <c r="J131" s="41"/>
      <c r="K131" s="40">
        <f t="shared" si="51"/>
        <v>0</v>
      </c>
    </row>
    <row r="132" spans="1:11" s="112" customFormat="1" x14ac:dyDescent="0.35">
      <c r="A132" s="198"/>
      <c r="B132" s="22" t="s">
        <v>349</v>
      </c>
      <c r="C132" s="119" t="s">
        <v>11</v>
      </c>
      <c r="D132" s="21">
        <f>D129*0.4</f>
        <v>1.2000000000000002</v>
      </c>
      <c r="E132" s="21"/>
      <c r="F132" s="116">
        <f t="shared" si="56"/>
        <v>0</v>
      </c>
      <c r="G132" s="116"/>
      <c r="H132" s="40"/>
      <c r="I132" s="116"/>
      <c r="J132" s="41"/>
      <c r="K132" s="40">
        <f t="shared" si="51"/>
        <v>0</v>
      </c>
    </row>
    <row r="133" spans="1:11" x14ac:dyDescent="0.35">
      <c r="A133" s="198"/>
      <c r="B133" s="22" t="s">
        <v>350</v>
      </c>
      <c r="C133" s="119" t="s">
        <v>11</v>
      </c>
      <c r="D133" s="21">
        <f>D129*0.1</f>
        <v>0.30000000000000004</v>
      </c>
      <c r="E133" s="21"/>
      <c r="F133" s="116">
        <f t="shared" si="56"/>
        <v>0</v>
      </c>
      <c r="G133" s="12"/>
      <c r="H133" s="40"/>
      <c r="I133" s="12"/>
      <c r="J133" s="41"/>
      <c r="K133" s="40">
        <f t="shared" si="51"/>
        <v>0</v>
      </c>
    </row>
    <row r="134" spans="1:11" x14ac:dyDescent="0.35">
      <c r="A134" s="198"/>
      <c r="B134" s="22" t="s">
        <v>351</v>
      </c>
      <c r="C134" s="119" t="s">
        <v>11</v>
      </c>
      <c r="D134" s="21">
        <f>D129*0.35</f>
        <v>1.0499999999999998</v>
      </c>
      <c r="E134" s="21"/>
      <c r="F134" s="116">
        <f t="shared" si="56"/>
        <v>0</v>
      </c>
      <c r="G134" s="12"/>
      <c r="H134" s="40"/>
      <c r="I134" s="12"/>
      <c r="J134" s="41"/>
      <c r="K134" s="40">
        <f t="shared" si="51"/>
        <v>0</v>
      </c>
    </row>
    <row r="135" spans="1:11" x14ac:dyDescent="0.35">
      <c r="A135" s="199"/>
      <c r="B135" s="44" t="s">
        <v>26</v>
      </c>
      <c r="C135" s="11" t="s">
        <v>10</v>
      </c>
      <c r="D135" s="12">
        <f>D129*0.02</f>
        <v>0.06</v>
      </c>
      <c r="E135" s="12"/>
      <c r="F135" s="116">
        <f t="shared" si="56"/>
        <v>0</v>
      </c>
      <c r="G135" s="12"/>
      <c r="H135" s="40"/>
      <c r="I135" s="12"/>
      <c r="J135" s="41"/>
      <c r="K135" s="40">
        <f t="shared" si="51"/>
        <v>0</v>
      </c>
    </row>
    <row r="136" spans="1:11" ht="40.5" x14ac:dyDescent="0.35">
      <c r="A136" s="225">
        <v>6</v>
      </c>
      <c r="B136" s="32" t="s">
        <v>122</v>
      </c>
      <c r="C136" s="33" t="s">
        <v>8</v>
      </c>
      <c r="D136" s="60">
        <v>5</v>
      </c>
      <c r="E136" s="21"/>
      <c r="F136" s="4"/>
      <c r="G136" s="21"/>
      <c r="H136" s="4">
        <f t="shared" ref="H136" si="57">G136*D136</f>
        <v>0</v>
      </c>
      <c r="I136" s="21"/>
      <c r="J136" s="4">
        <f t="shared" ref="J136" si="58">I136*D136</f>
        <v>0</v>
      </c>
      <c r="K136" s="4">
        <f t="shared" si="51"/>
        <v>0</v>
      </c>
    </row>
    <row r="137" spans="1:11" x14ac:dyDescent="0.35">
      <c r="A137" s="226"/>
      <c r="B137" s="28" t="s">
        <v>45</v>
      </c>
      <c r="C137" s="17" t="s">
        <v>11</v>
      </c>
      <c r="D137" s="4">
        <f>0.45*D136</f>
        <v>2.25</v>
      </c>
      <c r="E137" s="4"/>
      <c r="F137" s="4">
        <f t="shared" ref="F137:F144" si="59">E137*D137</f>
        <v>0</v>
      </c>
      <c r="G137" s="4"/>
      <c r="H137" s="4"/>
      <c r="I137" s="4"/>
      <c r="J137" s="4"/>
      <c r="K137" s="4">
        <f t="shared" si="51"/>
        <v>0</v>
      </c>
    </row>
    <row r="138" spans="1:11" x14ac:dyDescent="0.35">
      <c r="A138" s="226"/>
      <c r="B138" s="28" t="s">
        <v>41</v>
      </c>
      <c r="C138" s="17" t="s">
        <v>8</v>
      </c>
      <c r="D138" s="30">
        <f>0.009*D136</f>
        <v>4.4999999999999998E-2</v>
      </c>
      <c r="E138" s="4"/>
      <c r="F138" s="4">
        <f t="shared" si="59"/>
        <v>0</v>
      </c>
      <c r="G138" s="4"/>
      <c r="H138" s="4"/>
      <c r="I138" s="4"/>
      <c r="J138" s="4"/>
      <c r="K138" s="4">
        <f t="shared" si="51"/>
        <v>0</v>
      </c>
    </row>
    <row r="139" spans="1:11" x14ac:dyDescent="0.35">
      <c r="A139" s="226"/>
      <c r="B139" s="29" t="s">
        <v>98</v>
      </c>
      <c r="C139" s="17" t="s">
        <v>11</v>
      </c>
      <c r="D139" s="4">
        <f>D136*0.4</f>
        <v>2</v>
      </c>
      <c r="E139" s="4"/>
      <c r="F139" s="4">
        <f t="shared" si="59"/>
        <v>0</v>
      </c>
      <c r="G139" s="4"/>
      <c r="I139" s="4"/>
      <c r="J139" s="4"/>
      <c r="K139" s="4">
        <f>J139+G139+F139</f>
        <v>0</v>
      </c>
    </row>
    <row r="140" spans="1:11" x14ac:dyDescent="0.35">
      <c r="A140" s="226"/>
      <c r="B140" s="29" t="s">
        <v>65</v>
      </c>
      <c r="C140" s="17" t="s">
        <v>11</v>
      </c>
      <c r="D140" s="4">
        <f>0.12*D136</f>
        <v>0.6</v>
      </c>
      <c r="E140" s="4"/>
      <c r="F140" s="4">
        <f t="shared" si="59"/>
        <v>0</v>
      </c>
      <c r="G140" s="4"/>
      <c r="H140" s="4"/>
      <c r="I140" s="4"/>
      <c r="J140" s="4"/>
      <c r="K140" s="4">
        <f t="shared" ref="K140:K144" si="60">J140+H140+F140</f>
        <v>0</v>
      </c>
    </row>
    <row r="141" spans="1:11" x14ac:dyDescent="0.35">
      <c r="A141" s="226"/>
      <c r="B141" s="3" t="s">
        <v>46</v>
      </c>
      <c r="C141" s="17" t="s">
        <v>9</v>
      </c>
      <c r="D141" s="4">
        <f>0.6*D136</f>
        <v>3</v>
      </c>
      <c r="E141" s="4"/>
      <c r="F141" s="4">
        <f t="shared" si="59"/>
        <v>0</v>
      </c>
      <c r="G141" s="4"/>
      <c r="H141" s="4"/>
      <c r="I141" s="4"/>
      <c r="J141" s="4"/>
      <c r="K141" s="4">
        <f t="shared" si="60"/>
        <v>0</v>
      </c>
    </row>
    <row r="142" spans="1:11" x14ac:dyDescent="0.35">
      <c r="A142" s="226"/>
      <c r="B142" s="44" t="s">
        <v>69</v>
      </c>
      <c r="C142" s="43" t="s">
        <v>19</v>
      </c>
      <c r="D142" s="12">
        <v>4</v>
      </c>
      <c r="E142" s="48"/>
      <c r="F142" s="12">
        <f t="shared" si="59"/>
        <v>0</v>
      </c>
      <c r="G142" s="40"/>
      <c r="H142" s="40"/>
      <c r="I142" s="40"/>
      <c r="J142" s="41"/>
      <c r="K142" s="4">
        <f t="shared" si="60"/>
        <v>0</v>
      </c>
    </row>
    <row r="143" spans="1:11" x14ac:dyDescent="0.35">
      <c r="A143" s="226"/>
      <c r="B143" s="3" t="s">
        <v>43</v>
      </c>
      <c r="C143" s="17" t="s">
        <v>9</v>
      </c>
      <c r="D143" s="4">
        <f>0.26*D136</f>
        <v>1.3</v>
      </c>
      <c r="E143" s="4"/>
      <c r="F143" s="4">
        <f t="shared" si="59"/>
        <v>0</v>
      </c>
      <c r="G143" s="4"/>
      <c r="H143" s="4"/>
      <c r="I143" s="4"/>
      <c r="J143" s="4"/>
      <c r="K143" s="4">
        <f t="shared" si="60"/>
        <v>0</v>
      </c>
    </row>
    <row r="144" spans="1:11" x14ac:dyDescent="0.35">
      <c r="A144" s="226"/>
      <c r="B144" s="3" t="s">
        <v>66</v>
      </c>
      <c r="C144" s="17" t="s">
        <v>10</v>
      </c>
      <c r="D144" s="4">
        <f>D136*0.03</f>
        <v>0.15</v>
      </c>
      <c r="E144" s="4"/>
      <c r="F144" s="4">
        <f t="shared" si="59"/>
        <v>0</v>
      </c>
      <c r="G144" s="4"/>
      <c r="H144" s="4"/>
      <c r="I144" s="4"/>
      <c r="J144" s="4"/>
      <c r="K144" s="4">
        <f t="shared" si="60"/>
        <v>0</v>
      </c>
    </row>
    <row r="145" spans="1:11" x14ac:dyDescent="0.35">
      <c r="A145" s="8"/>
      <c r="B145" s="9" t="s">
        <v>6</v>
      </c>
      <c r="C145" s="9"/>
      <c r="D145" s="9"/>
      <c r="E145" s="9"/>
      <c r="F145" s="27">
        <f>SUM(F11:F144)</f>
        <v>0</v>
      </c>
      <c r="G145" s="27"/>
      <c r="H145" s="27">
        <f>SUM(H11:H144)</f>
        <v>0</v>
      </c>
      <c r="I145" s="27"/>
      <c r="J145" s="27">
        <f>SUM(J11:J144)</f>
        <v>0</v>
      </c>
      <c r="K145" s="27">
        <f>SUM(K11:K144)</f>
        <v>0</v>
      </c>
    </row>
    <row r="146" spans="1:11" x14ac:dyDescent="0.35">
      <c r="A146" s="5"/>
      <c r="B146" s="10" t="s">
        <v>12</v>
      </c>
      <c r="C146" s="19" t="s">
        <v>371</v>
      </c>
      <c r="D146" s="12"/>
      <c r="E146" s="11"/>
      <c r="F146" s="12"/>
      <c r="G146" s="12"/>
      <c r="H146" s="12"/>
      <c r="I146" s="12"/>
      <c r="J146" s="11"/>
      <c r="K146" s="26" t="e">
        <f>F145*C146</f>
        <v>#VALUE!</v>
      </c>
    </row>
    <row r="147" spans="1:11" x14ac:dyDescent="0.35">
      <c r="A147" s="5"/>
      <c r="B147" s="13" t="s">
        <v>6</v>
      </c>
      <c r="C147" s="18"/>
      <c r="D147" s="12"/>
      <c r="E147" s="11"/>
      <c r="F147" s="11"/>
      <c r="G147" s="12"/>
      <c r="H147" s="12"/>
      <c r="I147" s="12"/>
      <c r="J147" s="11"/>
      <c r="K147" s="26" t="e">
        <f>K146+K145</f>
        <v>#VALUE!</v>
      </c>
    </row>
    <row r="148" spans="1:11" x14ac:dyDescent="0.35">
      <c r="A148" s="5"/>
      <c r="B148" s="10" t="s">
        <v>13</v>
      </c>
      <c r="C148" s="19" t="s">
        <v>371</v>
      </c>
      <c r="D148" s="12"/>
      <c r="E148" s="11"/>
      <c r="F148" s="11"/>
      <c r="G148" s="12"/>
      <c r="H148" s="12"/>
      <c r="I148" s="12"/>
      <c r="J148" s="11"/>
      <c r="K148" s="26" t="e">
        <f>K147*C148</f>
        <v>#VALUE!</v>
      </c>
    </row>
    <row r="149" spans="1:11" x14ac:dyDescent="0.35">
      <c r="A149" s="5"/>
      <c r="B149" s="13" t="s">
        <v>6</v>
      </c>
      <c r="C149" s="18"/>
      <c r="D149" s="12"/>
      <c r="E149" s="11"/>
      <c r="F149" s="11"/>
      <c r="G149" s="12"/>
      <c r="H149" s="12"/>
      <c r="I149" s="12"/>
      <c r="J149" s="11"/>
      <c r="K149" s="26" t="e">
        <f>SUM(K147:K148)</f>
        <v>#VALUE!</v>
      </c>
    </row>
    <row r="150" spans="1:11" x14ac:dyDescent="0.35">
      <c r="A150" s="5"/>
      <c r="B150" s="10" t="s">
        <v>14</v>
      </c>
      <c r="C150" s="19" t="s">
        <v>371</v>
      </c>
      <c r="D150" s="12"/>
      <c r="E150" s="11"/>
      <c r="F150" s="11"/>
      <c r="G150" s="12"/>
      <c r="H150" s="12"/>
      <c r="I150" s="12"/>
      <c r="J150" s="11"/>
      <c r="K150" s="26" t="e">
        <f>K149*C150</f>
        <v>#VALUE!</v>
      </c>
    </row>
    <row r="151" spans="1:11" x14ac:dyDescent="0.35">
      <c r="A151" s="5"/>
      <c r="B151" s="13" t="s">
        <v>6</v>
      </c>
      <c r="C151" s="18"/>
      <c r="D151" s="12"/>
      <c r="E151" s="11"/>
      <c r="F151" s="11"/>
      <c r="G151" s="12"/>
      <c r="H151" s="12"/>
      <c r="I151" s="12"/>
      <c r="J151" s="11"/>
      <c r="K151" s="26" t="e">
        <f>SUM(K149:K150)</f>
        <v>#VALUE!</v>
      </c>
    </row>
    <row r="152" spans="1:11" x14ac:dyDescent="0.35">
      <c r="A152" s="5"/>
      <c r="B152" s="10" t="s">
        <v>17</v>
      </c>
      <c r="C152" s="19" t="s">
        <v>371</v>
      </c>
      <c r="D152" s="12"/>
      <c r="E152" s="11"/>
      <c r="F152" s="11"/>
      <c r="G152" s="12"/>
      <c r="H152" s="12"/>
      <c r="I152" s="12"/>
      <c r="J152" s="11"/>
      <c r="K152" s="26" t="e">
        <f>K151*C152</f>
        <v>#VALUE!</v>
      </c>
    </row>
    <row r="153" spans="1:11" x14ac:dyDescent="0.35">
      <c r="A153" s="5"/>
      <c r="B153" s="10" t="s">
        <v>20</v>
      </c>
      <c r="C153" s="19" t="s">
        <v>371</v>
      </c>
      <c r="D153" s="12"/>
      <c r="E153" s="11"/>
      <c r="F153" s="11"/>
      <c r="G153" s="12"/>
      <c r="H153" s="12"/>
      <c r="I153" s="12"/>
      <c r="J153" s="11"/>
      <c r="K153" s="26" t="e">
        <f>H145*C153</f>
        <v>#VALUE!</v>
      </c>
    </row>
    <row r="154" spans="1:11" x14ac:dyDescent="0.35">
      <c r="A154" s="5"/>
      <c r="B154" s="13" t="s">
        <v>6</v>
      </c>
      <c r="C154" s="18"/>
      <c r="D154" s="12"/>
      <c r="E154" s="11"/>
      <c r="F154" s="11"/>
      <c r="G154" s="12"/>
      <c r="H154" s="12"/>
      <c r="I154" s="12"/>
      <c r="J154" s="11"/>
      <c r="K154" s="26" t="e">
        <f>K153+K152+K151</f>
        <v>#VALUE!</v>
      </c>
    </row>
    <row r="155" spans="1:11" x14ac:dyDescent="0.35">
      <c r="A155" s="5"/>
      <c r="B155" s="6" t="s">
        <v>15</v>
      </c>
      <c r="C155" s="19">
        <v>0.18</v>
      </c>
      <c r="D155" s="12"/>
      <c r="E155" s="11"/>
      <c r="F155" s="11"/>
      <c r="G155" s="11"/>
      <c r="H155" s="11"/>
      <c r="I155" s="11"/>
      <c r="J155" s="11"/>
      <c r="K155" s="26" t="e">
        <f>K154*C155</f>
        <v>#VALUE!</v>
      </c>
    </row>
    <row r="156" spans="1:11" x14ac:dyDescent="0.35">
      <c r="A156" s="5"/>
      <c r="B156" s="9" t="s">
        <v>16</v>
      </c>
      <c r="C156" s="2"/>
      <c r="D156" s="5"/>
      <c r="E156" s="5"/>
      <c r="F156" s="5"/>
      <c r="G156" s="5"/>
      <c r="H156" s="5"/>
      <c r="I156" s="5"/>
      <c r="J156" s="5"/>
      <c r="K156" s="20" t="e">
        <f>K155+K154</f>
        <v>#VALUE!</v>
      </c>
    </row>
  </sheetData>
  <mergeCells count="36">
    <mergeCell ref="B1:I1"/>
    <mergeCell ref="J1:K1"/>
    <mergeCell ref="B3:K3"/>
    <mergeCell ref="F5:H5"/>
    <mergeCell ref="I5:J5"/>
    <mergeCell ref="B2:K2"/>
    <mergeCell ref="A4:K4"/>
    <mergeCell ref="A5:E5"/>
    <mergeCell ref="I6:J6"/>
    <mergeCell ref="K6:K7"/>
    <mergeCell ref="A11:A19"/>
    <mergeCell ref="A6:A7"/>
    <mergeCell ref="B6:B7"/>
    <mergeCell ref="C6:C7"/>
    <mergeCell ref="D6:D7"/>
    <mergeCell ref="E6:F6"/>
    <mergeCell ref="G6:H6"/>
    <mergeCell ref="A20:A22"/>
    <mergeCell ref="A68:A76"/>
    <mergeCell ref="A77:A79"/>
    <mergeCell ref="A25:A31"/>
    <mergeCell ref="A32:A37"/>
    <mergeCell ref="A40:A43"/>
    <mergeCell ref="A44:A52"/>
    <mergeCell ref="A54:A56"/>
    <mergeCell ref="A57:A65"/>
    <mergeCell ref="A94:A97"/>
    <mergeCell ref="A83:A86"/>
    <mergeCell ref="A87:A93"/>
    <mergeCell ref="A129:A135"/>
    <mergeCell ref="A136:A144"/>
    <mergeCell ref="A98:A103"/>
    <mergeCell ref="A104:A108"/>
    <mergeCell ref="A109:A117"/>
    <mergeCell ref="A125:A128"/>
    <mergeCell ref="A121:A124"/>
  </mergeCells>
  <pageMargins left="0.45" right="0.45" top="0.5" bottom="0.5" header="0.3" footer="0.3"/>
  <pageSetup scale="82" orientation="landscape" horizontalDpi="0" verticalDpi="0" r:id="rId1"/>
  <ignoredErrors>
    <ignoredError sqref="A20 A92:A98 A104 A121 A125 A129 A77 A90 A83:A88" numberStoredAsText="1"/>
    <ignoredError sqref="K149:K151 K47 K60 K112 K1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64D8-168C-46EA-9479-99403A659544}">
  <sheetPr>
    <tabColor rgb="FF92D050"/>
  </sheetPr>
  <dimension ref="A1:L71"/>
  <sheetViews>
    <sheetView topLeftCell="A25" zoomScaleNormal="100" workbookViewId="0">
      <selection activeCell="A4" sqref="A4:L4"/>
    </sheetView>
  </sheetViews>
  <sheetFormatPr defaultRowHeight="14.5" x14ac:dyDescent="0.35"/>
  <cols>
    <col min="1" max="1" width="4.36328125" customWidth="1"/>
    <col min="2" max="2" width="65.54296875" customWidth="1"/>
    <col min="5" max="5" width="8.36328125" customWidth="1"/>
    <col min="6" max="6" width="10.453125" customWidth="1"/>
    <col min="7" max="7" width="8" customWidth="1"/>
    <col min="8" max="8" width="10.6328125" customWidth="1"/>
    <col min="9" max="9" width="7.54296875" customWidth="1"/>
    <col min="10" max="10" width="10.36328125" customWidth="1"/>
    <col min="11" max="11" width="13.453125" customWidth="1"/>
  </cols>
  <sheetData>
    <row r="1" spans="1:12" ht="23.25" customHeight="1" x14ac:dyDescent="0.4">
      <c r="A1" s="1"/>
      <c r="B1" s="215" t="s">
        <v>75</v>
      </c>
      <c r="C1" s="215"/>
      <c r="D1" s="215"/>
      <c r="E1" s="215"/>
      <c r="F1" s="215"/>
      <c r="G1" s="215"/>
      <c r="H1" s="215"/>
      <c r="I1" s="215"/>
      <c r="J1" s="228"/>
      <c r="K1" s="228"/>
    </row>
    <row r="2" spans="1:12" s="112" customFormat="1" ht="23.25" customHeight="1" x14ac:dyDescent="0.35">
      <c r="A2" s="1"/>
      <c r="B2" s="217" t="s">
        <v>77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2" ht="18" customHeight="1" x14ac:dyDescent="0.35">
      <c r="A3" s="15"/>
      <c r="B3" s="232" t="s">
        <v>37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2" ht="18" customHeight="1" x14ac:dyDescent="0.35">
      <c r="A4" s="187" t="s">
        <v>373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" customHeight="1" x14ac:dyDescent="0.35">
      <c r="A5" s="189" t="s">
        <v>363</v>
      </c>
      <c r="B5" s="189"/>
      <c r="C5" s="189"/>
      <c r="D5" s="189"/>
      <c r="E5" s="189"/>
      <c r="F5" s="219" t="s">
        <v>22</v>
      </c>
      <c r="G5" s="219"/>
      <c r="H5" s="219"/>
      <c r="I5" s="220" t="e">
        <f>K71</f>
        <v>#VALUE!</v>
      </c>
      <c r="J5" s="221"/>
      <c r="K5" s="16" t="s">
        <v>10</v>
      </c>
    </row>
    <row r="6" spans="1:12" ht="30" customHeight="1" x14ac:dyDescent="0.35">
      <c r="A6" s="209" t="s">
        <v>18</v>
      </c>
      <c r="B6" s="209" t="s">
        <v>0</v>
      </c>
      <c r="C6" s="209" t="s">
        <v>1</v>
      </c>
      <c r="D6" s="213" t="s">
        <v>2</v>
      </c>
      <c r="E6" s="211" t="s">
        <v>3</v>
      </c>
      <c r="F6" s="212"/>
      <c r="G6" s="211" t="s">
        <v>4</v>
      </c>
      <c r="H6" s="212"/>
      <c r="I6" s="207" t="s">
        <v>5</v>
      </c>
      <c r="J6" s="208"/>
      <c r="K6" s="209" t="s">
        <v>6</v>
      </c>
    </row>
    <row r="7" spans="1:12" ht="27" x14ac:dyDescent="0.35">
      <c r="A7" s="210"/>
      <c r="B7" s="210"/>
      <c r="C7" s="210"/>
      <c r="D7" s="214"/>
      <c r="E7" s="11" t="s">
        <v>7</v>
      </c>
      <c r="F7" s="11" t="s">
        <v>6</v>
      </c>
      <c r="G7" s="11" t="s">
        <v>7</v>
      </c>
      <c r="H7" s="11" t="s">
        <v>6</v>
      </c>
      <c r="I7" s="11" t="s">
        <v>7</v>
      </c>
      <c r="J7" s="11" t="s">
        <v>6</v>
      </c>
      <c r="K7" s="210"/>
    </row>
    <row r="8" spans="1:12" x14ac:dyDescent="0.35">
      <c r="A8" s="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2" x14ac:dyDescent="0.35">
      <c r="A9" s="89"/>
      <c r="B9" s="31" t="s">
        <v>108</v>
      </c>
      <c r="C9" s="89"/>
      <c r="D9" s="89"/>
      <c r="E9" s="2"/>
      <c r="F9" s="2"/>
      <c r="G9" s="2"/>
      <c r="H9" s="2"/>
      <c r="I9" s="2"/>
      <c r="J9" s="2"/>
      <c r="K9" s="2"/>
    </row>
    <row r="10" spans="1:12" ht="40.5" x14ac:dyDescent="0.35">
      <c r="A10" s="225">
        <v>1</v>
      </c>
      <c r="B10" s="32" t="s">
        <v>347</v>
      </c>
      <c r="C10" s="33" t="s">
        <v>8</v>
      </c>
      <c r="D10" s="60">
        <v>160</v>
      </c>
      <c r="E10" s="21"/>
      <c r="F10" s="4"/>
      <c r="G10" s="21"/>
      <c r="H10" s="4">
        <f t="shared" ref="H10:H19" si="0">G10*D10</f>
        <v>0</v>
      </c>
      <c r="I10" s="21"/>
      <c r="J10" s="4">
        <f t="shared" ref="J10:J19" si="1">I10*D10</f>
        <v>0</v>
      </c>
      <c r="K10" s="4">
        <f t="shared" ref="K10:K21" si="2">J10+H10+F10</f>
        <v>0</v>
      </c>
    </row>
    <row r="11" spans="1:12" x14ac:dyDescent="0.35">
      <c r="A11" s="226"/>
      <c r="B11" s="44" t="s">
        <v>39</v>
      </c>
      <c r="C11" s="43" t="s">
        <v>11</v>
      </c>
      <c r="D11" s="12">
        <f>0.45*D10</f>
        <v>72</v>
      </c>
      <c r="E11" s="48"/>
      <c r="F11" s="12">
        <f t="shared" ref="F11:F18" si="3">E11*D11</f>
        <v>0</v>
      </c>
      <c r="G11" s="40"/>
      <c r="H11" s="4"/>
      <c r="I11" s="40"/>
      <c r="J11" s="4"/>
      <c r="K11" s="4">
        <f t="shared" si="2"/>
        <v>0</v>
      </c>
    </row>
    <row r="12" spans="1:12" x14ac:dyDescent="0.35">
      <c r="A12" s="226"/>
      <c r="B12" s="29" t="s">
        <v>213</v>
      </c>
      <c r="C12" s="43" t="s">
        <v>11</v>
      </c>
      <c r="D12" s="12">
        <f>0.4*D10</f>
        <v>64</v>
      </c>
      <c r="E12" s="48"/>
      <c r="F12" s="12">
        <f t="shared" si="3"/>
        <v>0</v>
      </c>
      <c r="G12" s="40"/>
      <c r="H12" s="4"/>
      <c r="I12" s="40"/>
      <c r="J12" s="4"/>
      <c r="K12" s="4">
        <f t="shared" si="2"/>
        <v>0</v>
      </c>
    </row>
    <row r="13" spans="1:12" x14ac:dyDescent="0.35">
      <c r="A13" s="226"/>
      <c r="B13" s="44" t="s">
        <v>40</v>
      </c>
      <c r="C13" s="43" t="s">
        <v>11</v>
      </c>
      <c r="D13" s="12">
        <f>0.15*D10</f>
        <v>24</v>
      </c>
      <c r="E13" s="48"/>
      <c r="F13" s="12">
        <f t="shared" si="3"/>
        <v>0</v>
      </c>
      <c r="G13" s="40"/>
      <c r="H13" s="4"/>
      <c r="I13" s="40"/>
      <c r="J13" s="4"/>
      <c r="K13" s="4">
        <f t="shared" si="2"/>
        <v>0</v>
      </c>
    </row>
    <row r="14" spans="1:12" x14ac:dyDescent="0.35">
      <c r="A14" s="226"/>
      <c r="B14" s="44" t="s">
        <v>41</v>
      </c>
      <c r="C14" s="43" t="s">
        <v>8</v>
      </c>
      <c r="D14" s="12">
        <f>0.009*D10</f>
        <v>1.44</v>
      </c>
      <c r="E14" s="48"/>
      <c r="F14" s="12">
        <f t="shared" si="3"/>
        <v>0</v>
      </c>
      <c r="G14" s="40"/>
      <c r="H14" s="4"/>
      <c r="I14" s="40"/>
      <c r="J14" s="4"/>
      <c r="K14" s="4">
        <f t="shared" si="2"/>
        <v>0</v>
      </c>
    </row>
    <row r="15" spans="1:12" x14ac:dyDescent="0.35">
      <c r="A15" s="226"/>
      <c r="B15" s="44" t="s">
        <v>42</v>
      </c>
      <c r="C15" s="43" t="s">
        <v>9</v>
      </c>
      <c r="D15" s="12">
        <f>0.4*D10</f>
        <v>64</v>
      </c>
      <c r="E15" s="48"/>
      <c r="F15" s="12">
        <f t="shared" si="3"/>
        <v>0</v>
      </c>
      <c r="G15" s="40"/>
      <c r="H15" s="4"/>
      <c r="I15" s="40"/>
      <c r="J15" s="4"/>
      <c r="K15" s="4">
        <f t="shared" si="2"/>
        <v>0</v>
      </c>
    </row>
    <row r="16" spans="1:12" x14ac:dyDescent="0.35">
      <c r="A16" s="226"/>
      <c r="B16" s="44" t="s">
        <v>69</v>
      </c>
      <c r="C16" s="43" t="s">
        <v>19</v>
      </c>
      <c r="D16" s="12">
        <v>3</v>
      </c>
      <c r="E16" s="48"/>
      <c r="F16" s="12">
        <f t="shared" si="3"/>
        <v>0</v>
      </c>
      <c r="G16" s="40"/>
      <c r="H16" s="40"/>
      <c r="I16" s="40"/>
      <c r="J16" s="41"/>
      <c r="K16" s="4">
        <f t="shared" si="2"/>
        <v>0</v>
      </c>
    </row>
    <row r="17" spans="1:11" x14ac:dyDescent="0.35">
      <c r="A17" s="226"/>
      <c r="B17" s="44" t="s">
        <v>43</v>
      </c>
      <c r="C17" s="43" t="s">
        <v>9</v>
      </c>
      <c r="D17" s="12">
        <f>0.3*D10</f>
        <v>48</v>
      </c>
      <c r="E17" s="48"/>
      <c r="F17" s="12">
        <f t="shared" si="3"/>
        <v>0</v>
      </c>
      <c r="G17" s="40"/>
      <c r="H17" s="4"/>
      <c r="I17" s="40"/>
      <c r="J17" s="4"/>
      <c r="K17" s="4">
        <f t="shared" si="2"/>
        <v>0</v>
      </c>
    </row>
    <row r="18" spans="1:11" x14ac:dyDescent="0.35">
      <c r="A18" s="226"/>
      <c r="B18" s="44" t="s">
        <v>44</v>
      </c>
      <c r="C18" s="43" t="s">
        <v>10</v>
      </c>
      <c r="D18" s="12">
        <f>D10*0.03</f>
        <v>4.8</v>
      </c>
      <c r="E18" s="48"/>
      <c r="F18" s="12">
        <f t="shared" si="3"/>
        <v>0</v>
      </c>
      <c r="G18" s="12"/>
      <c r="H18" s="4"/>
      <c r="I18" s="12"/>
      <c r="J18" s="4"/>
      <c r="K18" s="4">
        <f t="shared" si="2"/>
        <v>0</v>
      </c>
    </row>
    <row r="19" spans="1:11" ht="40.5" x14ac:dyDescent="0.35">
      <c r="A19" s="230" t="s">
        <v>32</v>
      </c>
      <c r="B19" s="45" t="s">
        <v>109</v>
      </c>
      <c r="C19" s="37" t="s">
        <v>9</v>
      </c>
      <c r="D19" s="38">
        <v>35</v>
      </c>
      <c r="E19" s="12"/>
      <c r="F19" s="12"/>
      <c r="G19" s="12"/>
      <c r="H19" s="4">
        <f t="shared" si="0"/>
        <v>0</v>
      </c>
      <c r="I19" s="12"/>
      <c r="J19" s="4">
        <f t="shared" si="1"/>
        <v>0</v>
      </c>
      <c r="K19" s="4">
        <f t="shared" si="2"/>
        <v>0</v>
      </c>
    </row>
    <row r="20" spans="1:11" x14ac:dyDescent="0.35">
      <c r="A20" s="193"/>
      <c r="B20" s="44" t="s">
        <v>105</v>
      </c>
      <c r="C20" s="43" t="s">
        <v>83</v>
      </c>
      <c r="D20" s="48">
        <f>D19*0.2*1.1</f>
        <v>7.7000000000000011</v>
      </c>
      <c r="E20" s="48"/>
      <c r="F20" s="48">
        <f>E20*D20</f>
        <v>0</v>
      </c>
      <c r="G20" s="48"/>
      <c r="H20" s="48"/>
      <c r="I20" s="48"/>
      <c r="J20" s="50"/>
      <c r="K20" s="12">
        <f t="shared" si="2"/>
        <v>0</v>
      </c>
    </row>
    <row r="21" spans="1:11" x14ac:dyDescent="0.35">
      <c r="A21" s="186"/>
      <c r="B21" s="44" t="s">
        <v>26</v>
      </c>
      <c r="C21" s="43" t="s">
        <v>10</v>
      </c>
      <c r="D21" s="48">
        <f>D19*0.08</f>
        <v>2.8000000000000003</v>
      </c>
      <c r="E21" s="48"/>
      <c r="F21" s="48">
        <f>E21*D21</f>
        <v>0</v>
      </c>
      <c r="G21" s="48"/>
      <c r="H21" s="48"/>
      <c r="I21" s="48"/>
      <c r="J21" s="50"/>
      <c r="K21" s="12">
        <f t="shared" si="2"/>
        <v>0</v>
      </c>
    </row>
    <row r="22" spans="1:11" x14ac:dyDescent="0.35">
      <c r="A22" s="5"/>
      <c r="B22" s="88" t="s">
        <v>124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27" x14ac:dyDescent="0.35">
      <c r="A23" s="225">
        <v>3</v>
      </c>
      <c r="B23" s="32" t="s">
        <v>123</v>
      </c>
      <c r="C23" s="33" t="s">
        <v>8</v>
      </c>
      <c r="D23" s="60">
        <v>128</v>
      </c>
      <c r="E23" s="21"/>
      <c r="F23" s="4"/>
      <c r="G23" s="21"/>
      <c r="H23" s="4">
        <f t="shared" ref="H23" si="4">G23*D23</f>
        <v>0</v>
      </c>
      <c r="I23" s="21"/>
      <c r="J23" s="4">
        <f t="shared" ref="J23" si="5">I23*D23</f>
        <v>0</v>
      </c>
      <c r="K23" s="4">
        <f t="shared" ref="K23:K30" si="6">J23+H23+F23</f>
        <v>0</v>
      </c>
    </row>
    <row r="24" spans="1:11" x14ac:dyDescent="0.35">
      <c r="A24" s="226"/>
      <c r="B24" s="28" t="s">
        <v>45</v>
      </c>
      <c r="C24" s="17" t="s">
        <v>11</v>
      </c>
      <c r="D24" s="4">
        <f>0.45*D23</f>
        <v>57.6</v>
      </c>
      <c r="E24" s="4"/>
      <c r="F24" s="4">
        <f t="shared" ref="F24:F30" si="7">E24*D24</f>
        <v>0</v>
      </c>
      <c r="G24" s="4"/>
      <c r="H24" s="4"/>
      <c r="I24" s="4"/>
      <c r="J24" s="4"/>
      <c r="K24" s="4">
        <f t="shared" si="6"/>
        <v>0</v>
      </c>
    </row>
    <row r="25" spans="1:11" x14ac:dyDescent="0.35">
      <c r="A25" s="226"/>
      <c r="B25" s="28" t="s">
        <v>41</v>
      </c>
      <c r="C25" s="17" t="s">
        <v>8</v>
      </c>
      <c r="D25" s="30">
        <f>0.009*D23</f>
        <v>1.1519999999999999</v>
      </c>
      <c r="E25" s="4"/>
      <c r="F25" s="4">
        <f t="shared" si="7"/>
        <v>0</v>
      </c>
      <c r="G25" s="4"/>
      <c r="H25" s="4"/>
      <c r="I25" s="4"/>
      <c r="J25" s="4"/>
      <c r="K25" s="4">
        <f t="shared" si="6"/>
        <v>0</v>
      </c>
    </row>
    <row r="26" spans="1:11" x14ac:dyDescent="0.35">
      <c r="A26" s="226"/>
      <c r="B26" s="29" t="s">
        <v>98</v>
      </c>
      <c r="C26" s="17" t="s">
        <v>11</v>
      </c>
      <c r="D26" s="4">
        <f>D23*0.4</f>
        <v>51.2</v>
      </c>
      <c r="E26" s="4"/>
      <c r="F26" s="4">
        <f t="shared" si="7"/>
        <v>0</v>
      </c>
      <c r="G26" s="4"/>
      <c r="H26" s="4"/>
      <c r="I26" s="4"/>
      <c r="J26" s="4"/>
      <c r="K26" s="4">
        <f t="shared" si="6"/>
        <v>0</v>
      </c>
    </row>
    <row r="27" spans="1:11" x14ac:dyDescent="0.35">
      <c r="A27" s="226"/>
      <c r="B27" s="29" t="s">
        <v>65</v>
      </c>
      <c r="C27" s="17" t="s">
        <v>11</v>
      </c>
      <c r="D27" s="4">
        <f>0.12*D23</f>
        <v>15.36</v>
      </c>
      <c r="E27" s="4"/>
      <c r="F27" s="4">
        <f t="shared" si="7"/>
        <v>0</v>
      </c>
      <c r="G27" s="4"/>
      <c r="H27" s="4"/>
      <c r="I27" s="4"/>
      <c r="J27" s="4"/>
      <c r="K27" s="4">
        <f t="shared" si="6"/>
        <v>0</v>
      </c>
    </row>
    <row r="28" spans="1:11" x14ac:dyDescent="0.35">
      <c r="A28" s="226"/>
      <c r="B28" s="3" t="s">
        <v>46</v>
      </c>
      <c r="C28" s="17" t="s">
        <v>9</v>
      </c>
      <c r="D28" s="4">
        <f>0.6*D23</f>
        <v>76.8</v>
      </c>
      <c r="E28" s="4"/>
      <c r="F28" s="4">
        <f t="shared" si="7"/>
        <v>0</v>
      </c>
      <c r="G28" s="4"/>
      <c r="H28" s="4"/>
      <c r="I28" s="4"/>
      <c r="J28" s="4"/>
      <c r="K28" s="4">
        <f t="shared" si="6"/>
        <v>0</v>
      </c>
    </row>
    <row r="29" spans="1:11" x14ac:dyDescent="0.35">
      <c r="A29" s="226"/>
      <c r="B29" s="44" t="s">
        <v>69</v>
      </c>
      <c r="C29" s="43" t="s">
        <v>19</v>
      </c>
      <c r="D29" s="12">
        <v>2</v>
      </c>
      <c r="E29" s="48"/>
      <c r="F29" s="12">
        <f t="shared" si="7"/>
        <v>0</v>
      </c>
      <c r="G29" s="40"/>
      <c r="H29" s="40"/>
      <c r="I29" s="40"/>
      <c r="J29" s="41"/>
      <c r="K29" s="4">
        <f t="shared" si="6"/>
        <v>0</v>
      </c>
    </row>
    <row r="30" spans="1:11" x14ac:dyDescent="0.35">
      <c r="A30" s="227"/>
      <c r="B30" s="51" t="s">
        <v>99</v>
      </c>
      <c r="C30" s="52" t="s">
        <v>10</v>
      </c>
      <c r="D30" s="4">
        <f>D23*0.03</f>
        <v>3.84</v>
      </c>
      <c r="E30" s="4"/>
      <c r="F30" s="4">
        <f t="shared" si="7"/>
        <v>0</v>
      </c>
      <c r="G30" s="4"/>
      <c r="H30" s="4"/>
      <c r="I30" s="4"/>
      <c r="J30" s="4"/>
      <c r="K30" s="4">
        <f t="shared" si="6"/>
        <v>0</v>
      </c>
    </row>
    <row r="31" spans="1:11" ht="40.5" x14ac:dyDescent="0.35">
      <c r="A31" s="225">
        <v>4</v>
      </c>
      <c r="B31" s="45" t="s">
        <v>126</v>
      </c>
      <c r="C31" s="33" t="s">
        <v>8</v>
      </c>
      <c r="D31" s="60">
        <v>221</v>
      </c>
      <c r="E31" s="21"/>
      <c r="F31" s="4"/>
      <c r="G31" s="21"/>
      <c r="H31" s="4">
        <f t="shared" ref="H31" si="8">G31*D31</f>
        <v>0</v>
      </c>
      <c r="I31" s="21"/>
      <c r="J31" s="4">
        <f t="shared" ref="J31" si="9">I31*D31</f>
        <v>0</v>
      </c>
      <c r="K31" s="4">
        <f t="shared" ref="K31:K39" si="10">J31+H31+F31</f>
        <v>0</v>
      </c>
    </row>
    <row r="32" spans="1:11" x14ac:dyDescent="0.35">
      <c r="A32" s="226"/>
      <c r="B32" s="28" t="s">
        <v>45</v>
      </c>
      <c r="C32" s="17" t="s">
        <v>11</v>
      </c>
      <c r="D32" s="4">
        <f>0.45*D31</f>
        <v>99.45</v>
      </c>
      <c r="E32" s="4"/>
      <c r="F32" s="4">
        <f t="shared" ref="F32:F39" si="11">E32*D32</f>
        <v>0</v>
      </c>
      <c r="G32" s="4"/>
      <c r="H32" s="4"/>
      <c r="I32" s="4"/>
      <c r="J32" s="4"/>
      <c r="K32" s="4">
        <f t="shared" si="10"/>
        <v>0</v>
      </c>
    </row>
    <row r="33" spans="1:11" x14ac:dyDescent="0.35">
      <c r="A33" s="226"/>
      <c r="B33" s="28" t="s">
        <v>41</v>
      </c>
      <c r="C33" s="17" t="s">
        <v>8</v>
      </c>
      <c r="D33" s="30">
        <f>0.009*D31</f>
        <v>1.9889999999999999</v>
      </c>
      <c r="E33" s="4"/>
      <c r="F33" s="4">
        <f t="shared" si="11"/>
        <v>0</v>
      </c>
      <c r="G33" s="4"/>
      <c r="H33" s="4"/>
      <c r="I33" s="4"/>
      <c r="J33" s="4"/>
      <c r="K33" s="4">
        <f t="shared" si="10"/>
        <v>0</v>
      </c>
    </row>
    <row r="34" spans="1:11" x14ac:dyDescent="0.35">
      <c r="A34" s="226"/>
      <c r="B34" s="29" t="s">
        <v>98</v>
      </c>
      <c r="C34" s="17" t="s">
        <v>11</v>
      </c>
      <c r="D34" s="4">
        <f>D31*0.4</f>
        <v>88.4</v>
      </c>
      <c r="E34" s="4"/>
      <c r="F34" s="4">
        <f t="shared" si="11"/>
        <v>0</v>
      </c>
      <c r="G34" s="4"/>
      <c r="I34" s="4"/>
      <c r="J34" s="4"/>
      <c r="K34" s="4">
        <f>J34+G34+F34</f>
        <v>0</v>
      </c>
    </row>
    <row r="35" spans="1:11" x14ac:dyDescent="0.35">
      <c r="A35" s="226"/>
      <c r="B35" s="29" t="s">
        <v>65</v>
      </c>
      <c r="C35" s="17" t="s">
        <v>11</v>
      </c>
      <c r="D35" s="4">
        <f>0.12*D31</f>
        <v>26.52</v>
      </c>
      <c r="E35" s="4"/>
      <c r="F35" s="4">
        <f t="shared" si="11"/>
        <v>0</v>
      </c>
      <c r="G35" s="4"/>
      <c r="H35" s="4"/>
      <c r="I35" s="4"/>
      <c r="J35" s="4"/>
      <c r="K35" s="4">
        <f t="shared" si="10"/>
        <v>0</v>
      </c>
    </row>
    <row r="36" spans="1:11" x14ac:dyDescent="0.35">
      <c r="A36" s="226"/>
      <c r="B36" s="3" t="s">
        <v>46</v>
      </c>
      <c r="C36" s="17" t="s">
        <v>9</v>
      </c>
      <c r="D36" s="4">
        <f>0.6*D31</f>
        <v>132.6</v>
      </c>
      <c r="E36" s="4"/>
      <c r="F36" s="4">
        <f t="shared" si="11"/>
        <v>0</v>
      </c>
      <c r="G36" s="4"/>
      <c r="H36" s="4"/>
      <c r="I36" s="4"/>
      <c r="J36" s="4"/>
      <c r="K36" s="4">
        <f t="shared" si="10"/>
        <v>0</v>
      </c>
    </row>
    <row r="37" spans="1:11" x14ac:dyDescent="0.35">
      <c r="A37" s="226"/>
      <c r="B37" s="44" t="s">
        <v>69</v>
      </c>
      <c r="C37" s="43" t="s">
        <v>19</v>
      </c>
      <c r="D37" s="12">
        <v>4</v>
      </c>
      <c r="E37" s="48"/>
      <c r="F37" s="12">
        <f t="shared" si="11"/>
        <v>0</v>
      </c>
      <c r="G37" s="40"/>
      <c r="H37" s="40"/>
      <c r="I37" s="40"/>
      <c r="J37" s="41"/>
      <c r="K37" s="4">
        <f t="shared" si="10"/>
        <v>0</v>
      </c>
    </row>
    <row r="38" spans="1:11" x14ac:dyDescent="0.35">
      <c r="A38" s="226"/>
      <c r="B38" s="3" t="s">
        <v>43</v>
      </c>
      <c r="C38" s="17" t="s">
        <v>9</v>
      </c>
      <c r="D38" s="4">
        <f>0.26*D31</f>
        <v>57.46</v>
      </c>
      <c r="E38" s="4"/>
      <c r="F38" s="4">
        <f t="shared" si="11"/>
        <v>0</v>
      </c>
      <c r="G38" s="4"/>
      <c r="H38" s="4"/>
      <c r="I38" s="4"/>
      <c r="J38" s="4"/>
      <c r="K38" s="4">
        <f t="shared" si="10"/>
        <v>0</v>
      </c>
    </row>
    <row r="39" spans="1:11" x14ac:dyDescent="0.35">
      <c r="A39" s="226"/>
      <c r="B39" s="3" t="s">
        <v>66</v>
      </c>
      <c r="C39" s="17" t="s">
        <v>10</v>
      </c>
      <c r="D39" s="4">
        <f>D31*0.03</f>
        <v>6.63</v>
      </c>
      <c r="E39" s="4"/>
      <c r="F39" s="4">
        <f t="shared" si="11"/>
        <v>0</v>
      </c>
      <c r="G39" s="4"/>
      <c r="H39" s="4"/>
      <c r="I39" s="4"/>
      <c r="J39" s="4"/>
      <c r="K39" s="4">
        <f t="shared" si="10"/>
        <v>0</v>
      </c>
    </row>
    <row r="40" spans="1:11" ht="30" customHeight="1" x14ac:dyDescent="0.35">
      <c r="A40" s="225">
        <v>5</v>
      </c>
      <c r="B40" s="45" t="s">
        <v>357</v>
      </c>
      <c r="C40" s="33" t="s">
        <v>8</v>
      </c>
      <c r="D40" s="60">
        <v>32</v>
      </c>
      <c r="E40" s="21"/>
      <c r="F40" s="4"/>
      <c r="G40" s="21"/>
      <c r="H40" s="4">
        <f t="shared" ref="H40" si="12">G40*D40</f>
        <v>0</v>
      </c>
      <c r="I40" s="21"/>
      <c r="J40" s="4">
        <f t="shared" ref="J40" si="13">I40*D40</f>
        <v>0</v>
      </c>
      <c r="K40" s="4">
        <f t="shared" ref="K40:K42" si="14">J40+H40+F40</f>
        <v>0</v>
      </c>
    </row>
    <row r="41" spans="1:11" x14ac:dyDescent="0.35">
      <c r="A41" s="226"/>
      <c r="B41" s="28" t="s">
        <v>45</v>
      </c>
      <c r="C41" s="17" t="s">
        <v>11</v>
      </c>
      <c r="D41" s="4">
        <f>0.45*D40</f>
        <v>14.4</v>
      </c>
      <c r="E41" s="4"/>
      <c r="F41" s="4">
        <f t="shared" ref="F41:F48" si="15">E41*D41</f>
        <v>0</v>
      </c>
      <c r="G41" s="4"/>
      <c r="H41" s="4"/>
      <c r="I41" s="4"/>
      <c r="J41" s="4"/>
      <c r="K41" s="4">
        <f t="shared" si="14"/>
        <v>0</v>
      </c>
    </row>
    <row r="42" spans="1:11" x14ac:dyDescent="0.35">
      <c r="A42" s="226"/>
      <c r="B42" s="28" t="s">
        <v>41</v>
      </c>
      <c r="C42" s="17" t="s">
        <v>8</v>
      </c>
      <c r="D42" s="30">
        <f>0.009*D40</f>
        <v>0.28799999999999998</v>
      </c>
      <c r="E42" s="4"/>
      <c r="F42" s="4">
        <f t="shared" si="15"/>
        <v>0</v>
      </c>
      <c r="G42" s="4"/>
      <c r="H42" s="4"/>
      <c r="I42" s="4"/>
      <c r="J42" s="4"/>
      <c r="K42" s="4">
        <f t="shared" si="14"/>
        <v>0</v>
      </c>
    </row>
    <row r="43" spans="1:11" x14ac:dyDescent="0.35">
      <c r="A43" s="226"/>
      <c r="B43" s="29" t="s">
        <v>213</v>
      </c>
      <c r="C43" s="17" t="s">
        <v>11</v>
      </c>
      <c r="D43" s="4">
        <f>D40*0.4</f>
        <v>12.8</v>
      </c>
      <c r="E43" s="4"/>
      <c r="F43" s="4">
        <f t="shared" si="15"/>
        <v>0</v>
      </c>
      <c r="G43" s="4"/>
      <c r="I43" s="4"/>
      <c r="J43" s="4"/>
      <c r="K43" s="4">
        <f>J43+G43+F43</f>
        <v>0</v>
      </c>
    </row>
    <row r="44" spans="1:11" x14ac:dyDescent="0.35">
      <c r="A44" s="226"/>
      <c r="B44" s="29" t="s">
        <v>65</v>
      </c>
      <c r="C44" s="17" t="s">
        <v>11</v>
      </c>
      <c r="D44" s="4">
        <f>0.12*D40</f>
        <v>3.84</v>
      </c>
      <c r="E44" s="4"/>
      <c r="F44" s="4">
        <f t="shared" si="15"/>
        <v>0</v>
      </c>
      <c r="G44" s="4"/>
      <c r="H44" s="4"/>
      <c r="I44" s="4"/>
      <c r="J44" s="4"/>
      <c r="K44" s="4">
        <f t="shared" ref="K44:K48" si="16">J44+H44+F44</f>
        <v>0</v>
      </c>
    </row>
    <row r="45" spans="1:11" x14ac:dyDescent="0.35">
      <c r="A45" s="226"/>
      <c r="B45" s="3" t="s">
        <v>46</v>
      </c>
      <c r="C45" s="17" t="s">
        <v>9</v>
      </c>
      <c r="D45" s="4">
        <f>0.6*D40</f>
        <v>19.2</v>
      </c>
      <c r="E45" s="4"/>
      <c r="F45" s="4">
        <f t="shared" si="15"/>
        <v>0</v>
      </c>
      <c r="G45" s="4"/>
      <c r="H45" s="4"/>
      <c r="I45" s="4"/>
      <c r="J45" s="4"/>
      <c r="K45" s="4">
        <f t="shared" si="16"/>
        <v>0</v>
      </c>
    </row>
    <row r="46" spans="1:11" x14ac:dyDescent="0.35">
      <c r="A46" s="226"/>
      <c r="B46" s="44" t="s">
        <v>69</v>
      </c>
      <c r="C46" s="43" t="s">
        <v>19</v>
      </c>
      <c r="D46" s="12">
        <v>4</v>
      </c>
      <c r="E46" s="48"/>
      <c r="F46" s="12">
        <f t="shared" si="15"/>
        <v>0</v>
      </c>
      <c r="G46" s="40"/>
      <c r="H46" s="40"/>
      <c r="I46" s="40"/>
      <c r="J46" s="41"/>
      <c r="K46" s="4">
        <f t="shared" si="16"/>
        <v>0</v>
      </c>
    </row>
    <row r="47" spans="1:11" x14ac:dyDescent="0.35">
      <c r="A47" s="226"/>
      <c r="B47" s="3" t="s">
        <v>43</v>
      </c>
      <c r="C47" s="17" t="s">
        <v>9</v>
      </c>
      <c r="D47" s="4">
        <f>0.26*D40</f>
        <v>8.32</v>
      </c>
      <c r="E47" s="4"/>
      <c r="F47" s="4">
        <f t="shared" si="15"/>
        <v>0</v>
      </c>
      <c r="G47" s="4"/>
      <c r="H47" s="4"/>
      <c r="I47" s="4"/>
      <c r="J47" s="4"/>
      <c r="K47" s="4">
        <f t="shared" si="16"/>
        <v>0</v>
      </c>
    </row>
    <row r="48" spans="1:11" x14ac:dyDescent="0.35">
      <c r="A48" s="226"/>
      <c r="B48" s="3" t="s">
        <v>66</v>
      </c>
      <c r="C48" s="17" t="s">
        <v>10</v>
      </c>
      <c r="D48" s="4">
        <f>D40*0.03</f>
        <v>0.96</v>
      </c>
      <c r="E48" s="4"/>
      <c r="F48" s="4">
        <f t="shared" si="15"/>
        <v>0</v>
      </c>
      <c r="G48" s="4"/>
      <c r="H48" s="4"/>
      <c r="I48" s="4"/>
      <c r="J48" s="4"/>
      <c r="K48" s="4">
        <f t="shared" si="16"/>
        <v>0</v>
      </c>
    </row>
    <row r="49" spans="1:11" x14ac:dyDescent="0.35">
      <c r="A49" s="97"/>
      <c r="B49" s="88" t="s">
        <v>127</v>
      </c>
      <c r="C49" s="17"/>
      <c r="D49" s="4"/>
      <c r="E49" s="4"/>
      <c r="F49" s="4"/>
      <c r="G49" s="4"/>
      <c r="H49" s="4"/>
      <c r="I49" s="4"/>
      <c r="J49" s="4"/>
      <c r="K49" s="4"/>
    </row>
    <row r="50" spans="1:11" ht="27" x14ac:dyDescent="0.35">
      <c r="A50" s="8">
        <v>6</v>
      </c>
      <c r="B50" s="25" t="s">
        <v>128</v>
      </c>
      <c r="C50" s="8" t="s">
        <v>23</v>
      </c>
      <c r="D50" s="60">
        <v>12</v>
      </c>
      <c r="E50" s="4"/>
      <c r="F50" s="4"/>
      <c r="G50" s="4"/>
      <c r="H50" s="4">
        <f>G50*D50</f>
        <v>0</v>
      </c>
      <c r="I50" s="4"/>
      <c r="J50" s="4"/>
      <c r="K50" s="4">
        <f>J50+H50+F50</f>
        <v>0</v>
      </c>
    </row>
    <row r="51" spans="1:11" ht="27" x14ac:dyDescent="0.35">
      <c r="A51" s="225">
        <v>7</v>
      </c>
      <c r="B51" s="45" t="s">
        <v>129</v>
      </c>
      <c r="C51" s="33" t="s">
        <v>8</v>
      </c>
      <c r="D51" s="60">
        <v>12</v>
      </c>
      <c r="E51" s="21"/>
      <c r="F51" s="4"/>
      <c r="G51" s="21"/>
      <c r="H51" s="4">
        <f t="shared" ref="H51" si="17">G51*D51</f>
        <v>0</v>
      </c>
      <c r="I51" s="21"/>
      <c r="J51" s="4">
        <f t="shared" ref="J51" si="18">I51*D51</f>
        <v>0</v>
      </c>
      <c r="K51" s="4">
        <f t="shared" ref="K51:K53" si="19">J51+H51+F51</f>
        <v>0</v>
      </c>
    </row>
    <row r="52" spans="1:11" x14ac:dyDescent="0.35">
      <c r="A52" s="226"/>
      <c r="B52" s="28" t="s">
        <v>45</v>
      </c>
      <c r="C52" s="17" t="s">
        <v>11</v>
      </c>
      <c r="D52" s="4">
        <f>0.45*D51</f>
        <v>5.4</v>
      </c>
      <c r="E52" s="4"/>
      <c r="F52" s="4">
        <f t="shared" ref="F52:F59" si="20">E52*D52</f>
        <v>0</v>
      </c>
      <c r="G52" s="4"/>
      <c r="H52" s="4"/>
      <c r="I52" s="4"/>
      <c r="J52" s="4"/>
      <c r="K52" s="4">
        <f t="shared" si="19"/>
        <v>0</v>
      </c>
    </row>
    <row r="53" spans="1:11" x14ac:dyDescent="0.35">
      <c r="A53" s="226"/>
      <c r="B53" s="28" t="s">
        <v>41</v>
      </c>
      <c r="C53" s="17" t="s">
        <v>8</v>
      </c>
      <c r="D53" s="30">
        <f>0.009*D51</f>
        <v>0.10799999999999998</v>
      </c>
      <c r="E53" s="4"/>
      <c r="F53" s="4">
        <f t="shared" si="20"/>
        <v>0</v>
      </c>
      <c r="G53" s="4"/>
      <c r="H53" s="4"/>
      <c r="I53" s="4"/>
      <c r="J53" s="4"/>
      <c r="K53" s="4">
        <f t="shared" si="19"/>
        <v>0</v>
      </c>
    </row>
    <row r="54" spans="1:11" x14ac:dyDescent="0.35">
      <c r="A54" s="226"/>
      <c r="B54" s="29" t="s">
        <v>98</v>
      </c>
      <c r="C54" s="17" t="s">
        <v>11</v>
      </c>
      <c r="D54" s="4">
        <f>D51*0.4</f>
        <v>4.8000000000000007</v>
      </c>
      <c r="E54" s="4"/>
      <c r="F54" s="4">
        <f t="shared" si="20"/>
        <v>0</v>
      </c>
      <c r="G54" s="4"/>
      <c r="I54" s="4"/>
      <c r="J54" s="4"/>
      <c r="K54" s="4">
        <f>J54+G54+F54</f>
        <v>0</v>
      </c>
    </row>
    <row r="55" spans="1:11" x14ac:dyDescent="0.35">
      <c r="A55" s="226"/>
      <c r="B55" s="29" t="s">
        <v>65</v>
      </c>
      <c r="C55" s="17" t="s">
        <v>11</v>
      </c>
      <c r="D55" s="4">
        <f>0.12*D51</f>
        <v>1.44</v>
      </c>
      <c r="E55" s="4"/>
      <c r="F55" s="4">
        <f t="shared" si="20"/>
        <v>0</v>
      </c>
      <c r="G55" s="4"/>
      <c r="H55" s="4"/>
      <c r="I55" s="4"/>
      <c r="J55" s="4"/>
      <c r="K55" s="4">
        <f t="shared" ref="K55:K59" si="21">J55+H55+F55</f>
        <v>0</v>
      </c>
    </row>
    <row r="56" spans="1:11" x14ac:dyDescent="0.35">
      <c r="A56" s="226"/>
      <c r="B56" s="3" t="s">
        <v>46</v>
      </c>
      <c r="C56" s="17" t="s">
        <v>9</v>
      </c>
      <c r="D56" s="4">
        <f>0.6*D51</f>
        <v>7.1999999999999993</v>
      </c>
      <c r="E56" s="4"/>
      <c r="F56" s="4">
        <f t="shared" si="20"/>
        <v>0</v>
      </c>
      <c r="G56" s="4"/>
      <c r="H56" s="4"/>
      <c r="I56" s="4"/>
      <c r="J56" s="4"/>
      <c r="K56" s="4">
        <f t="shared" si="21"/>
        <v>0</v>
      </c>
    </row>
    <row r="57" spans="1:11" x14ac:dyDescent="0.35">
      <c r="A57" s="226"/>
      <c r="B57" s="44" t="s">
        <v>69</v>
      </c>
      <c r="C57" s="43" t="s">
        <v>19</v>
      </c>
      <c r="D57" s="12">
        <v>4</v>
      </c>
      <c r="E57" s="48"/>
      <c r="F57" s="12">
        <f t="shared" si="20"/>
        <v>0</v>
      </c>
      <c r="G57" s="40"/>
      <c r="H57" s="40"/>
      <c r="I57" s="40"/>
      <c r="J57" s="41"/>
      <c r="K57" s="4">
        <f t="shared" si="21"/>
        <v>0</v>
      </c>
    </row>
    <row r="58" spans="1:11" x14ac:dyDescent="0.35">
      <c r="A58" s="226"/>
      <c r="B58" s="3" t="s">
        <v>43</v>
      </c>
      <c r="C58" s="17" t="s">
        <v>9</v>
      </c>
      <c r="D58" s="4">
        <f>0.26*D51</f>
        <v>3.12</v>
      </c>
      <c r="E58" s="4"/>
      <c r="F58" s="4">
        <f t="shared" si="20"/>
        <v>0</v>
      </c>
      <c r="G58" s="4"/>
      <c r="H58" s="4"/>
      <c r="I58" s="4"/>
      <c r="J58" s="4"/>
      <c r="K58" s="4">
        <f t="shared" si="21"/>
        <v>0</v>
      </c>
    </row>
    <row r="59" spans="1:11" x14ac:dyDescent="0.35">
      <c r="A59" s="226"/>
      <c r="B59" s="3" t="s">
        <v>66</v>
      </c>
      <c r="C59" s="17" t="s">
        <v>10</v>
      </c>
      <c r="D59" s="4">
        <f>D51*0.03</f>
        <v>0.36</v>
      </c>
      <c r="E59" s="4"/>
      <c r="F59" s="4">
        <f t="shared" si="20"/>
        <v>0</v>
      </c>
      <c r="G59" s="4"/>
      <c r="H59" s="4"/>
      <c r="I59" s="4"/>
      <c r="J59" s="4"/>
      <c r="K59" s="4">
        <f t="shared" si="21"/>
        <v>0</v>
      </c>
    </row>
    <row r="60" spans="1:11" x14ac:dyDescent="0.35">
      <c r="A60" s="8"/>
      <c r="B60" s="9" t="s">
        <v>6</v>
      </c>
      <c r="C60" s="9"/>
      <c r="D60" s="9"/>
      <c r="E60" s="9"/>
      <c r="F60" s="27">
        <f>SUM(F10:F59)</f>
        <v>0</v>
      </c>
      <c r="G60" s="27"/>
      <c r="H60" s="27">
        <f>SUM(H10:H59)</f>
        <v>0</v>
      </c>
      <c r="I60" s="27"/>
      <c r="J60" s="27">
        <f>SUM(J10:J59)</f>
        <v>0</v>
      </c>
      <c r="K60" s="27">
        <f>SUM(K10:K59)</f>
        <v>0</v>
      </c>
    </row>
    <row r="61" spans="1:11" x14ac:dyDescent="0.35">
      <c r="A61" s="5"/>
      <c r="B61" s="10" t="s">
        <v>12</v>
      </c>
      <c r="C61" s="19" t="s">
        <v>371</v>
      </c>
      <c r="D61" s="12"/>
      <c r="E61" s="11"/>
      <c r="F61" s="12"/>
      <c r="G61" s="12"/>
      <c r="H61" s="12"/>
      <c r="I61" s="12"/>
      <c r="J61" s="11"/>
      <c r="K61" s="26" t="e">
        <f>F60*C61</f>
        <v>#VALUE!</v>
      </c>
    </row>
    <row r="62" spans="1:11" x14ac:dyDescent="0.35">
      <c r="A62" s="5"/>
      <c r="B62" s="13" t="s">
        <v>6</v>
      </c>
      <c r="C62" s="18"/>
      <c r="D62" s="12"/>
      <c r="E62" s="11"/>
      <c r="F62" s="11"/>
      <c r="G62" s="12"/>
      <c r="H62" s="12"/>
      <c r="I62" s="12"/>
      <c r="J62" s="11"/>
      <c r="K62" s="26" t="e">
        <f>K61+K60</f>
        <v>#VALUE!</v>
      </c>
    </row>
    <row r="63" spans="1:11" x14ac:dyDescent="0.35">
      <c r="A63" s="5"/>
      <c r="B63" s="10" t="s">
        <v>13</v>
      </c>
      <c r="C63" s="19" t="s">
        <v>371</v>
      </c>
      <c r="D63" s="12"/>
      <c r="E63" s="11"/>
      <c r="F63" s="11"/>
      <c r="G63" s="12"/>
      <c r="H63" s="12"/>
      <c r="I63" s="12"/>
      <c r="J63" s="11"/>
      <c r="K63" s="26" t="e">
        <f>K62*C63</f>
        <v>#VALUE!</v>
      </c>
    </row>
    <row r="64" spans="1:11" x14ac:dyDescent="0.35">
      <c r="A64" s="5"/>
      <c r="B64" s="13" t="s">
        <v>6</v>
      </c>
      <c r="C64" s="18"/>
      <c r="D64" s="12"/>
      <c r="E64" s="11"/>
      <c r="F64" s="11"/>
      <c r="G64" s="12"/>
      <c r="H64" s="12"/>
      <c r="I64" s="12"/>
      <c r="J64" s="11"/>
      <c r="K64" s="26" t="e">
        <f>SUM(K62:K63)</f>
        <v>#VALUE!</v>
      </c>
    </row>
    <row r="65" spans="1:11" x14ac:dyDescent="0.35">
      <c r="A65" s="5"/>
      <c r="B65" s="10" t="s">
        <v>14</v>
      </c>
      <c r="C65" s="19" t="s">
        <v>371</v>
      </c>
      <c r="D65" s="12"/>
      <c r="E65" s="11"/>
      <c r="F65" s="11"/>
      <c r="G65" s="12"/>
      <c r="H65" s="12"/>
      <c r="I65" s="12"/>
      <c r="J65" s="11"/>
      <c r="K65" s="26" t="e">
        <f>K64*C65</f>
        <v>#VALUE!</v>
      </c>
    </row>
    <row r="66" spans="1:11" x14ac:dyDescent="0.35">
      <c r="A66" s="5"/>
      <c r="B66" s="13" t="s">
        <v>6</v>
      </c>
      <c r="C66" s="18"/>
      <c r="D66" s="12"/>
      <c r="E66" s="11"/>
      <c r="F66" s="11"/>
      <c r="G66" s="12"/>
      <c r="H66" s="12"/>
      <c r="I66" s="12"/>
      <c r="J66" s="11"/>
      <c r="K66" s="26" t="e">
        <f>SUM(K64:K65)</f>
        <v>#VALUE!</v>
      </c>
    </row>
    <row r="67" spans="1:11" x14ac:dyDescent="0.35">
      <c r="A67" s="5"/>
      <c r="B67" s="10" t="s">
        <v>17</v>
      </c>
      <c r="C67" s="19" t="s">
        <v>371</v>
      </c>
      <c r="D67" s="12"/>
      <c r="E67" s="11"/>
      <c r="F67" s="11"/>
      <c r="G67" s="12"/>
      <c r="H67" s="12"/>
      <c r="I67" s="12"/>
      <c r="J67" s="11"/>
      <c r="K67" s="26" t="e">
        <f>K66*C67</f>
        <v>#VALUE!</v>
      </c>
    </row>
    <row r="68" spans="1:11" x14ac:dyDescent="0.35">
      <c r="A68" s="5"/>
      <c r="B68" s="10" t="s">
        <v>20</v>
      </c>
      <c r="C68" s="19" t="s">
        <v>371</v>
      </c>
      <c r="D68" s="12"/>
      <c r="E68" s="11"/>
      <c r="F68" s="11"/>
      <c r="G68" s="12"/>
      <c r="H68" s="12"/>
      <c r="I68" s="12"/>
      <c r="J68" s="11"/>
      <c r="K68" s="26" t="e">
        <f>H60*C68</f>
        <v>#VALUE!</v>
      </c>
    </row>
    <row r="69" spans="1:11" x14ac:dyDescent="0.35">
      <c r="A69" s="5"/>
      <c r="B69" s="13" t="s">
        <v>6</v>
      </c>
      <c r="C69" s="18"/>
      <c r="D69" s="12"/>
      <c r="E69" s="11"/>
      <c r="F69" s="11"/>
      <c r="G69" s="12"/>
      <c r="H69" s="12"/>
      <c r="I69" s="12"/>
      <c r="J69" s="11"/>
      <c r="K69" s="26" t="e">
        <f>K68+K67+K66</f>
        <v>#VALUE!</v>
      </c>
    </row>
    <row r="70" spans="1:11" x14ac:dyDescent="0.35">
      <c r="A70" s="5"/>
      <c r="B70" s="6" t="s">
        <v>15</v>
      </c>
      <c r="C70" s="19">
        <v>0.18</v>
      </c>
      <c r="D70" s="12"/>
      <c r="E70" s="11"/>
      <c r="F70" s="11"/>
      <c r="G70" s="11"/>
      <c r="H70" s="11"/>
      <c r="I70" s="11"/>
      <c r="J70" s="11"/>
      <c r="K70" s="26" t="e">
        <f>K69*C70</f>
        <v>#VALUE!</v>
      </c>
    </row>
    <row r="71" spans="1:11" x14ac:dyDescent="0.35">
      <c r="A71" s="5"/>
      <c r="B71" s="9" t="s">
        <v>16</v>
      </c>
      <c r="C71" s="2"/>
      <c r="D71" s="5"/>
      <c r="E71" s="5"/>
      <c r="F71" s="5"/>
      <c r="G71" s="5"/>
      <c r="H71" s="5"/>
      <c r="I71" s="5"/>
      <c r="J71" s="5"/>
      <c r="K71" s="20" t="e">
        <f>K70+K69</f>
        <v>#VALUE!</v>
      </c>
    </row>
  </sheetData>
  <mergeCells count="22">
    <mergeCell ref="B1:I1"/>
    <mergeCell ref="J1:K1"/>
    <mergeCell ref="B3:K3"/>
    <mergeCell ref="F5:H5"/>
    <mergeCell ref="I5:J5"/>
    <mergeCell ref="B2:K2"/>
    <mergeCell ref="A4:L4"/>
    <mergeCell ref="A5:E5"/>
    <mergeCell ref="A19:A21"/>
    <mergeCell ref="A31:A39"/>
    <mergeCell ref="A40:A48"/>
    <mergeCell ref="A23:A30"/>
    <mergeCell ref="A51:A59"/>
    <mergeCell ref="I6:J6"/>
    <mergeCell ref="K6:K7"/>
    <mergeCell ref="E6:F6"/>
    <mergeCell ref="G6:H6"/>
    <mergeCell ref="A10:A18"/>
    <mergeCell ref="A6:A7"/>
    <mergeCell ref="B6:B7"/>
    <mergeCell ref="C6:C7"/>
    <mergeCell ref="D6:D7"/>
  </mergeCells>
  <pageMargins left="0.45" right="0.45" top="0.5" bottom="0.5" header="0.3" footer="0.3"/>
  <pageSetup scale="82" orientation="landscape" horizontalDpi="0" verticalDpi="0" r:id="rId1"/>
  <ignoredErrors>
    <ignoredError sqref="A19" numberStoredAsText="1"/>
    <ignoredError sqref="K64:K66 K34 K43 K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7964-847E-4402-9F5A-5186682DC59E}">
  <sheetPr>
    <tabColor rgb="FF92D050"/>
  </sheetPr>
  <dimension ref="A1:M70"/>
  <sheetViews>
    <sheetView tabSelected="1" topLeftCell="A27" zoomScaleNormal="100" workbookViewId="0">
      <selection activeCell="B6" sqref="B6:B7"/>
    </sheetView>
  </sheetViews>
  <sheetFormatPr defaultRowHeight="14.5" x14ac:dyDescent="0.35"/>
  <cols>
    <col min="1" max="1" width="4.36328125" customWidth="1"/>
    <col min="2" max="2" width="65.54296875" customWidth="1"/>
    <col min="5" max="5" width="8.36328125" customWidth="1"/>
    <col min="6" max="6" width="10.453125" customWidth="1"/>
    <col min="7" max="7" width="8" customWidth="1"/>
    <col min="8" max="8" width="10.6328125" customWidth="1"/>
    <col min="9" max="9" width="7.54296875" customWidth="1"/>
    <col min="10" max="10" width="10.36328125" customWidth="1"/>
    <col min="11" max="11" width="13.453125" customWidth="1"/>
  </cols>
  <sheetData>
    <row r="1" spans="1:13" ht="23.25" customHeight="1" x14ac:dyDescent="0.4">
      <c r="A1" s="1"/>
      <c r="B1" s="215" t="s">
        <v>73</v>
      </c>
      <c r="C1" s="215"/>
      <c r="D1" s="215"/>
      <c r="E1" s="215"/>
      <c r="F1" s="215"/>
      <c r="G1" s="215"/>
      <c r="H1" s="215"/>
      <c r="I1" s="215"/>
      <c r="J1" s="231"/>
      <c r="K1" s="231"/>
    </row>
    <row r="2" spans="1:13" s="112" customFormat="1" ht="23.25" customHeight="1" x14ac:dyDescent="0.35">
      <c r="A2" s="1"/>
      <c r="B2" s="217" t="s">
        <v>76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3" ht="18" customHeight="1" x14ac:dyDescent="0.35">
      <c r="A3" s="15"/>
      <c r="B3" s="232" t="s">
        <v>80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3" ht="18" customHeight="1" x14ac:dyDescent="0.35">
      <c r="A4" s="187" t="s">
        <v>373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74"/>
      <c r="M4" s="174"/>
    </row>
    <row r="5" spans="1:13" ht="18" customHeight="1" x14ac:dyDescent="0.35">
      <c r="A5" s="189" t="s">
        <v>363</v>
      </c>
      <c r="B5" s="189"/>
      <c r="C5" s="189"/>
      <c r="D5" s="189"/>
      <c r="E5" s="189"/>
      <c r="F5" s="219" t="s">
        <v>22</v>
      </c>
      <c r="G5" s="219"/>
      <c r="H5" s="219"/>
      <c r="I5" s="220" t="e">
        <f>K70</f>
        <v>#VALUE!</v>
      </c>
      <c r="J5" s="221"/>
      <c r="K5" s="16" t="s">
        <v>10</v>
      </c>
    </row>
    <row r="6" spans="1:13" ht="30" customHeight="1" x14ac:dyDescent="0.35">
      <c r="A6" s="209" t="s">
        <v>18</v>
      </c>
      <c r="B6" s="209" t="s">
        <v>0</v>
      </c>
      <c r="C6" s="209" t="s">
        <v>1</v>
      </c>
      <c r="D6" s="213" t="s">
        <v>2</v>
      </c>
      <c r="E6" s="211" t="s">
        <v>3</v>
      </c>
      <c r="F6" s="212"/>
      <c r="G6" s="211" t="s">
        <v>4</v>
      </c>
      <c r="H6" s="212"/>
      <c r="I6" s="207" t="s">
        <v>5</v>
      </c>
      <c r="J6" s="208"/>
      <c r="K6" s="209" t="s">
        <v>6</v>
      </c>
    </row>
    <row r="7" spans="1:13" ht="27" x14ac:dyDescent="0.35">
      <c r="A7" s="210"/>
      <c r="B7" s="210"/>
      <c r="C7" s="210"/>
      <c r="D7" s="214"/>
      <c r="E7" s="11" t="s">
        <v>7</v>
      </c>
      <c r="F7" s="11" t="s">
        <v>6</v>
      </c>
      <c r="G7" s="11" t="s">
        <v>7</v>
      </c>
      <c r="H7" s="11" t="s">
        <v>6</v>
      </c>
      <c r="I7" s="11" t="s">
        <v>7</v>
      </c>
      <c r="J7" s="11" t="s">
        <v>6</v>
      </c>
      <c r="K7" s="210"/>
    </row>
    <row r="8" spans="1:13" x14ac:dyDescent="0.35">
      <c r="A8" s="5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</row>
    <row r="9" spans="1:13" ht="20.149999999999999" customHeight="1" x14ac:dyDescent="0.35">
      <c r="A9" s="128"/>
      <c r="B9" s="139" t="s">
        <v>130</v>
      </c>
      <c r="C9" s="129"/>
      <c r="D9" s="138"/>
      <c r="E9" s="138"/>
      <c r="F9" s="138"/>
      <c r="G9" s="138"/>
      <c r="H9" s="138"/>
      <c r="I9" s="138"/>
      <c r="J9" s="138"/>
      <c r="K9" s="147"/>
    </row>
    <row r="10" spans="1:13" ht="27" x14ac:dyDescent="0.35">
      <c r="A10" s="225">
        <v>1</v>
      </c>
      <c r="B10" s="32" t="s">
        <v>358</v>
      </c>
      <c r="C10" s="33" t="s">
        <v>8</v>
      </c>
      <c r="D10" s="60">
        <v>350</v>
      </c>
      <c r="E10" s="21"/>
      <c r="F10" s="24"/>
      <c r="G10" s="21"/>
      <c r="H10" s="4">
        <f t="shared" ref="H10:H19" si="0">G10*D10</f>
        <v>0</v>
      </c>
      <c r="I10" s="21"/>
      <c r="J10" s="4">
        <f t="shared" ref="J10:J19" si="1">I10*D10</f>
        <v>0</v>
      </c>
      <c r="K10" s="4">
        <f t="shared" ref="K10:K33" si="2">J10+H10+F10</f>
        <v>0</v>
      </c>
    </row>
    <row r="11" spans="1:13" x14ac:dyDescent="0.35">
      <c r="A11" s="226"/>
      <c r="B11" s="44" t="s">
        <v>39</v>
      </c>
      <c r="C11" s="43" t="s">
        <v>11</v>
      </c>
      <c r="D11" s="40">
        <f>0.45*D10</f>
        <v>157.5</v>
      </c>
      <c r="E11" s="48"/>
      <c r="F11" s="24">
        <f t="shared" ref="F11:F33" si="3">E11*D11</f>
        <v>0</v>
      </c>
      <c r="G11" s="40"/>
      <c r="H11" s="24"/>
      <c r="I11" s="40"/>
      <c r="J11" s="24"/>
      <c r="K11" s="4">
        <f t="shared" si="2"/>
        <v>0</v>
      </c>
    </row>
    <row r="12" spans="1:13" x14ac:dyDescent="0.35">
      <c r="A12" s="226"/>
      <c r="B12" s="29" t="s">
        <v>213</v>
      </c>
      <c r="C12" s="43" t="s">
        <v>11</v>
      </c>
      <c r="D12" s="12">
        <f>0.4*D10</f>
        <v>140</v>
      </c>
      <c r="E12" s="48"/>
      <c r="F12" s="24">
        <f t="shared" si="3"/>
        <v>0</v>
      </c>
      <c r="G12" s="40"/>
      <c r="H12" s="24"/>
      <c r="I12" s="40"/>
      <c r="J12" s="24"/>
      <c r="K12" s="4">
        <f t="shared" si="2"/>
        <v>0</v>
      </c>
    </row>
    <row r="13" spans="1:13" x14ac:dyDescent="0.35">
      <c r="A13" s="226"/>
      <c r="B13" s="44" t="s">
        <v>40</v>
      </c>
      <c r="C13" s="43" t="s">
        <v>11</v>
      </c>
      <c r="D13" s="12">
        <f>0.15*D10</f>
        <v>52.5</v>
      </c>
      <c r="E13" s="48"/>
      <c r="F13" s="24">
        <f t="shared" si="3"/>
        <v>0</v>
      </c>
      <c r="G13" s="40"/>
      <c r="H13" s="24"/>
      <c r="I13" s="40"/>
      <c r="J13" s="24"/>
      <c r="K13" s="4">
        <f t="shared" si="2"/>
        <v>0</v>
      </c>
    </row>
    <row r="14" spans="1:13" x14ac:dyDescent="0.35">
      <c r="A14" s="226"/>
      <c r="B14" s="44" t="s">
        <v>41</v>
      </c>
      <c r="C14" s="43" t="s">
        <v>8</v>
      </c>
      <c r="D14" s="12">
        <f>0.009*D10</f>
        <v>3.15</v>
      </c>
      <c r="E14" s="48"/>
      <c r="F14" s="24">
        <f t="shared" si="3"/>
        <v>0</v>
      </c>
      <c r="G14" s="40"/>
      <c r="H14" s="24"/>
      <c r="I14" s="40"/>
      <c r="J14" s="24"/>
      <c r="K14" s="4">
        <f t="shared" si="2"/>
        <v>0</v>
      </c>
    </row>
    <row r="15" spans="1:13" x14ac:dyDescent="0.35">
      <c r="A15" s="226"/>
      <c r="B15" s="44" t="s">
        <v>42</v>
      </c>
      <c r="C15" s="43" t="s">
        <v>9</v>
      </c>
      <c r="D15" s="12">
        <f>0.4*D10</f>
        <v>140</v>
      </c>
      <c r="E15" s="48"/>
      <c r="F15" s="24">
        <f t="shared" si="3"/>
        <v>0</v>
      </c>
      <c r="G15" s="40"/>
      <c r="H15" s="24"/>
      <c r="I15" s="40"/>
      <c r="J15" s="24"/>
      <c r="K15" s="4">
        <f t="shared" si="2"/>
        <v>0</v>
      </c>
    </row>
    <row r="16" spans="1:13" x14ac:dyDescent="0.35">
      <c r="A16" s="226"/>
      <c r="B16" s="44" t="s">
        <v>69</v>
      </c>
      <c r="C16" s="43" t="s">
        <v>19</v>
      </c>
      <c r="D16" s="12">
        <v>4</v>
      </c>
      <c r="E16" s="48"/>
      <c r="F16" s="24">
        <f t="shared" si="3"/>
        <v>0</v>
      </c>
      <c r="G16" s="40"/>
      <c r="H16" s="24"/>
      <c r="I16" s="40"/>
      <c r="J16" s="24"/>
      <c r="K16" s="4">
        <f t="shared" si="2"/>
        <v>0</v>
      </c>
    </row>
    <row r="17" spans="1:11" x14ac:dyDescent="0.35">
      <c r="A17" s="226"/>
      <c r="B17" s="44" t="s">
        <v>43</v>
      </c>
      <c r="C17" s="43" t="s">
        <v>9</v>
      </c>
      <c r="D17" s="12">
        <f>0.3*D10</f>
        <v>105</v>
      </c>
      <c r="E17" s="48"/>
      <c r="F17" s="24">
        <f t="shared" si="3"/>
        <v>0</v>
      </c>
      <c r="G17" s="40"/>
      <c r="H17" s="24"/>
      <c r="I17" s="40"/>
      <c r="J17" s="24"/>
      <c r="K17" s="4">
        <f t="shared" si="2"/>
        <v>0</v>
      </c>
    </row>
    <row r="18" spans="1:11" x14ac:dyDescent="0.35">
      <c r="A18" s="226"/>
      <c r="B18" s="44" t="s">
        <v>44</v>
      </c>
      <c r="C18" s="43" t="s">
        <v>10</v>
      </c>
      <c r="D18" s="12">
        <f>D10*0.03</f>
        <v>10.5</v>
      </c>
      <c r="E18" s="48"/>
      <c r="F18" s="24">
        <f t="shared" si="3"/>
        <v>0</v>
      </c>
      <c r="G18" s="12"/>
      <c r="H18" s="24"/>
      <c r="I18" s="12"/>
      <c r="J18" s="24"/>
      <c r="K18" s="4">
        <f t="shared" si="2"/>
        <v>0</v>
      </c>
    </row>
    <row r="19" spans="1:11" ht="40.5" x14ac:dyDescent="0.35">
      <c r="A19" s="225">
        <v>22</v>
      </c>
      <c r="B19" s="32" t="s">
        <v>359</v>
      </c>
      <c r="C19" s="33" t="s">
        <v>8</v>
      </c>
      <c r="D19" s="60">
        <v>151</v>
      </c>
      <c r="E19" s="21"/>
      <c r="F19" s="4"/>
      <c r="G19" s="21"/>
      <c r="H19" s="4">
        <f t="shared" si="0"/>
        <v>0</v>
      </c>
      <c r="I19" s="21"/>
      <c r="J19" s="4">
        <f t="shared" si="1"/>
        <v>0</v>
      </c>
      <c r="K19" s="4">
        <f t="shared" si="2"/>
        <v>0</v>
      </c>
    </row>
    <row r="20" spans="1:11" x14ac:dyDescent="0.35">
      <c r="A20" s="226"/>
      <c r="B20" s="44" t="s">
        <v>39</v>
      </c>
      <c r="C20" s="43" t="s">
        <v>11</v>
      </c>
      <c r="D20" s="12">
        <f>0.45*D19</f>
        <v>67.95</v>
      </c>
      <c r="E20" s="48"/>
      <c r="F20" s="24">
        <f t="shared" si="3"/>
        <v>0</v>
      </c>
      <c r="G20" s="40"/>
      <c r="H20" s="24"/>
      <c r="I20" s="40"/>
      <c r="J20" s="24"/>
      <c r="K20" s="4">
        <f t="shared" si="2"/>
        <v>0</v>
      </c>
    </row>
    <row r="21" spans="1:11" x14ac:dyDescent="0.35">
      <c r="A21" s="226"/>
      <c r="B21" s="29" t="s">
        <v>213</v>
      </c>
      <c r="C21" s="43" t="s">
        <v>11</v>
      </c>
      <c r="D21" s="12">
        <f>0.4*D19</f>
        <v>60.400000000000006</v>
      </c>
      <c r="E21" s="48"/>
      <c r="F21" s="24">
        <f t="shared" si="3"/>
        <v>0</v>
      </c>
      <c r="G21" s="40"/>
      <c r="H21" s="24"/>
      <c r="I21" s="40"/>
      <c r="J21" s="24"/>
      <c r="K21" s="4">
        <f t="shared" si="2"/>
        <v>0</v>
      </c>
    </row>
    <row r="22" spans="1:11" x14ac:dyDescent="0.35">
      <c r="A22" s="226"/>
      <c r="B22" s="44" t="s">
        <v>40</v>
      </c>
      <c r="C22" s="43" t="s">
        <v>11</v>
      </c>
      <c r="D22" s="12">
        <f>0.15*D19</f>
        <v>22.65</v>
      </c>
      <c r="E22" s="48"/>
      <c r="F22" s="24">
        <f t="shared" si="3"/>
        <v>0</v>
      </c>
      <c r="G22" s="40"/>
      <c r="H22" s="24"/>
      <c r="I22" s="40"/>
      <c r="J22" s="24"/>
      <c r="K22" s="4">
        <f t="shared" si="2"/>
        <v>0</v>
      </c>
    </row>
    <row r="23" spans="1:11" x14ac:dyDescent="0.35">
      <c r="A23" s="226"/>
      <c r="B23" s="44" t="s">
        <v>41</v>
      </c>
      <c r="C23" s="43" t="s">
        <v>8</v>
      </c>
      <c r="D23" s="12">
        <f>0.009*D19</f>
        <v>1.359</v>
      </c>
      <c r="E23" s="48"/>
      <c r="F23" s="24">
        <f t="shared" si="3"/>
        <v>0</v>
      </c>
      <c r="G23" s="40"/>
      <c r="H23" s="24"/>
      <c r="I23" s="40"/>
      <c r="J23" s="24"/>
      <c r="K23" s="4">
        <f t="shared" si="2"/>
        <v>0</v>
      </c>
    </row>
    <row r="24" spans="1:11" x14ac:dyDescent="0.35">
      <c r="A24" s="226"/>
      <c r="B24" s="44" t="s">
        <v>69</v>
      </c>
      <c r="C24" s="43" t="s">
        <v>19</v>
      </c>
      <c r="D24" s="12">
        <v>2</v>
      </c>
      <c r="E24" s="48"/>
      <c r="F24" s="24">
        <f t="shared" si="3"/>
        <v>0</v>
      </c>
      <c r="G24" s="40"/>
      <c r="H24" s="24"/>
      <c r="I24" s="40"/>
      <c r="J24" s="24"/>
      <c r="K24" s="4">
        <f t="shared" si="2"/>
        <v>0</v>
      </c>
    </row>
    <row r="25" spans="1:11" x14ac:dyDescent="0.35">
      <c r="A25" s="226"/>
      <c r="B25" s="44" t="s">
        <v>44</v>
      </c>
      <c r="C25" s="43" t="s">
        <v>10</v>
      </c>
      <c r="D25" s="12">
        <f>D19*0.03</f>
        <v>4.53</v>
      </c>
      <c r="E25" s="48"/>
      <c r="F25" s="24">
        <f t="shared" si="3"/>
        <v>0</v>
      </c>
      <c r="G25" s="12"/>
      <c r="H25" s="24"/>
      <c r="I25" s="12"/>
      <c r="J25" s="24"/>
      <c r="K25" s="4">
        <f t="shared" si="2"/>
        <v>0</v>
      </c>
    </row>
    <row r="26" spans="1:11" ht="27" x14ac:dyDescent="0.35">
      <c r="A26" s="182">
        <v>23</v>
      </c>
      <c r="B26" s="32" t="s">
        <v>360</v>
      </c>
      <c r="C26" s="33" t="s">
        <v>8</v>
      </c>
      <c r="D26" s="60">
        <f>3.28*8.72</f>
        <v>28.601600000000001</v>
      </c>
      <c r="E26" s="21"/>
      <c r="F26" s="24"/>
      <c r="G26" s="21"/>
      <c r="H26" s="4">
        <f t="shared" ref="H26" si="4">G26*D26</f>
        <v>0</v>
      </c>
      <c r="I26" s="21"/>
      <c r="J26" s="4">
        <f t="shared" ref="J26" si="5">I26*D26</f>
        <v>0</v>
      </c>
      <c r="K26" s="4">
        <f t="shared" si="2"/>
        <v>0</v>
      </c>
    </row>
    <row r="27" spans="1:11" x14ac:dyDescent="0.35">
      <c r="A27" s="183"/>
      <c r="B27" s="44" t="s">
        <v>39</v>
      </c>
      <c r="C27" s="43" t="s">
        <v>11</v>
      </c>
      <c r="D27" s="40">
        <f>0.45*D26</f>
        <v>12.87072</v>
      </c>
      <c r="E27" s="48"/>
      <c r="F27" s="24">
        <f t="shared" si="3"/>
        <v>0</v>
      </c>
      <c r="G27" s="40"/>
      <c r="H27" s="24"/>
      <c r="I27" s="40"/>
      <c r="J27" s="24"/>
      <c r="K27" s="4">
        <f t="shared" si="2"/>
        <v>0</v>
      </c>
    </row>
    <row r="28" spans="1:11" x14ac:dyDescent="0.35">
      <c r="A28" s="183"/>
      <c r="B28" s="29" t="s">
        <v>213</v>
      </c>
      <c r="C28" s="43" t="s">
        <v>11</v>
      </c>
      <c r="D28" s="12">
        <f>0.4*D26</f>
        <v>11.440640000000002</v>
      </c>
      <c r="E28" s="48"/>
      <c r="F28" s="24">
        <f t="shared" si="3"/>
        <v>0</v>
      </c>
      <c r="G28" s="40"/>
      <c r="H28" s="24"/>
      <c r="I28" s="40"/>
      <c r="J28" s="24"/>
      <c r="K28" s="4">
        <f t="shared" si="2"/>
        <v>0</v>
      </c>
    </row>
    <row r="29" spans="1:11" x14ac:dyDescent="0.35">
      <c r="A29" s="183"/>
      <c r="B29" s="44" t="s">
        <v>40</v>
      </c>
      <c r="C29" s="43" t="s">
        <v>11</v>
      </c>
      <c r="D29" s="12">
        <f>0.15*D26</f>
        <v>4.2902399999999998</v>
      </c>
      <c r="E29" s="48"/>
      <c r="F29" s="24">
        <f t="shared" si="3"/>
        <v>0</v>
      </c>
      <c r="G29" s="40"/>
      <c r="H29" s="24"/>
      <c r="I29" s="40"/>
      <c r="J29" s="24"/>
      <c r="K29" s="4">
        <f t="shared" si="2"/>
        <v>0</v>
      </c>
    </row>
    <row r="30" spans="1:11" x14ac:dyDescent="0.35">
      <c r="A30" s="183"/>
      <c r="B30" s="44" t="s">
        <v>41</v>
      </c>
      <c r="C30" s="43" t="s">
        <v>8</v>
      </c>
      <c r="D30" s="12">
        <f>0.009*D26</f>
        <v>0.25741439999999999</v>
      </c>
      <c r="E30" s="48"/>
      <c r="F30" s="24">
        <f t="shared" si="3"/>
        <v>0</v>
      </c>
      <c r="G30" s="40"/>
      <c r="H30" s="24"/>
      <c r="I30" s="40"/>
      <c r="J30" s="24"/>
      <c r="K30" s="4">
        <f t="shared" si="2"/>
        <v>0</v>
      </c>
    </row>
    <row r="31" spans="1:11" x14ac:dyDescent="0.35">
      <c r="A31" s="183"/>
      <c r="B31" s="44" t="s">
        <v>42</v>
      </c>
      <c r="C31" s="43" t="s">
        <v>9</v>
      </c>
      <c r="D31" s="12">
        <f>0.4*D26</f>
        <v>11.440640000000002</v>
      </c>
      <c r="E31" s="48"/>
      <c r="F31" s="24">
        <f t="shared" si="3"/>
        <v>0</v>
      </c>
      <c r="G31" s="40"/>
      <c r="H31" s="24"/>
      <c r="I31" s="40"/>
      <c r="J31" s="24"/>
      <c r="K31" s="4">
        <f t="shared" si="2"/>
        <v>0</v>
      </c>
    </row>
    <row r="32" spans="1:11" x14ac:dyDescent="0.35">
      <c r="A32" s="80"/>
      <c r="B32" s="44" t="s">
        <v>69</v>
      </c>
      <c r="C32" s="43" t="s">
        <v>19</v>
      </c>
      <c r="D32" s="12">
        <v>1</v>
      </c>
      <c r="E32" s="48"/>
      <c r="F32" s="24">
        <f t="shared" si="3"/>
        <v>0</v>
      </c>
      <c r="G32" s="40"/>
      <c r="H32" s="24"/>
      <c r="I32" s="40"/>
      <c r="J32" s="24"/>
      <c r="K32" s="4">
        <f t="shared" si="2"/>
        <v>0</v>
      </c>
    </row>
    <row r="33" spans="1:11" x14ac:dyDescent="0.35">
      <c r="A33" s="81"/>
      <c r="B33" s="44" t="s">
        <v>44</v>
      </c>
      <c r="C33" s="43" t="s">
        <v>10</v>
      </c>
      <c r="D33" s="12">
        <f>D26*0.03</f>
        <v>0.85804800000000003</v>
      </c>
      <c r="E33" s="48"/>
      <c r="F33" s="24">
        <f t="shared" si="3"/>
        <v>0</v>
      </c>
      <c r="G33" s="12"/>
      <c r="H33" s="24"/>
      <c r="I33" s="12"/>
      <c r="J33" s="24"/>
      <c r="K33" s="4">
        <f t="shared" si="2"/>
        <v>0</v>
      </c>
    </row>
    <row r="34" spans="1:11" ht="20.149999999999999" customHeight="1" x14ac:dyDescent="0.35">
      <c r="A34" s="128"/>
      <c r="B34" s="139" t="s">
        <v>131</v>
      </c>
      <c r="C34" s="129"/>
      <c r="D34" s="138"/>
      <c r="E34" s="138"/>
      <c r="F34" s="138"/>
      <c r="G34" s="138"/>
      <c r="H34" s="138"/>
      <c r="I34" s="138"/>
      <c r="J34" s="138"/>
      <c r="K34" s="147"/>
    </row>
    <row r="35" spans="1:11" ht="27" x14ac:dyDescent="0.35">
      <c r="A35" s="225">
        <v>1</v>
      </c>
      <c r="B35" s="32" t="s">
        <v>358</v>
      </c>
      <c r="C35" s="33" t="s">
        <v>8</v>
      </c>
      <c r="D35" s="60">
        <v>284</v>
      </c>
      <c r="E35" s="21"/>
      <c r="F35" s="24"/>
      <c r="G35" s="21"/>
      <c r="H35" s="4">
        <f t="shared" ref="H35" si="6">G35*D35</f>
        <v>0</v>
      </c>
      <c r="I35" s="21"/>
      <c r="J35" s="4">
        <f t="shared" ref="J35" si="7">I35*D35</f>
        <v>0</v>
      </c>
      <c r="K35" s="4">
        <f t="shared" ref="K35:K58" si="8">J35+H35+F35</f>
        <v>0</v>
      </c>
    </row>
    <row r="36" spans="1:11" x14ac:dyDescent="0.35">
      <c r="A36" s="226"/>
      <c r="B36" s="44" t="s">
        <v>39</v>
      </c>
      <c r="C36" s="43" t="s">
        <v>11</v>
      </c>
      <c r="D36" s="40">
        <f>0.45*D35</f>
        <v>127.8</v>
      </c>
      <c r="E36" s="48"/>
      <c r="F36" s="24">
        <f t="shared" ref="F36:F43" si="9">E36*D36</f>
        <v>0</v>
      </c>
      <c r="G36" s="40"/>
      <c r="H36" s="24"/>
      <c r="I36" s="40"/>
      <c r="J36" s="24"/>
      <c r="K36" s="4">
        <f t="shared" si="8"/>
        <v>0</v>
      </c>
    </row>
    <row r="37" spans="1:11" x14ac:dyDescent="0.35">
      <c r="A37" s="226"/>
      <c r="B37" s="29" t="s">
        <v>213</v>
      </c>
      <c r="C37" s="43" t="s">
        <v>11</v>
      </c>
      <c r="D37" s="12">
        <f>0.4*D35</f>
        <v>113.60000000000001</v>
      </c>
      <c r="E37" s="48"/>
      <c r="F37" s="24">
        <f t="shared" si="9"/>
        <v>0</v>
      </c>
      <c r="G37" s="40"/>
      <c r="H37" s="24"/>
      <c r="I37" s="40"/>
      <c r="J37" s="24"/>
      <c r="K37" s="4">
        <f t="shared" si="8"/>
        <v>0</v>
      </c>
    </row>
    <row r="38" spans="1:11" x14ac:dyDescent="0.35">
      <c r="A38" s="226"/>
      <c r="B38" s="44" t="s">
        <v>40</v>
      </c>
      <c r="C38" s="43" t="s">
        <v>11</v>
      </c>
      <c r="D38" s="12">
        <f>0.15*D35</f>
        <v>42.6</v>
      </c>
      <c r="E38" s="48"/>
      <c r="F38" s="24">
        <f t="shared" si="9"/>
        <v>0</v>
      </c>
      <c r="G38" s="40"/>
      <c r="H38" s="24"/>
      <c r="I38" s="40"/>
      <c r="J38" s="24"/>
      <c r="K38" s="4">
        <f t="shared" si="8"/>
        <v>0</v>
      </c>
    </row>
    <row r="39" spans="1:11" x14ac:dyDescent="0.35">
      <c r="A39" s="226"/>
      <c r="B39" s="44" t="s">
        <v>41</v>
      </c>
      <c r="C39" s="43" t="s">
        <v>8</v>
      </c>
      <c r="D39" s="12">
        <f>0.009*D35</f>
        <v>2.5559999999999996</v>
      </c>
      <c r="E39" s="48"/>
      <c r="F39" s="24">
        <f t="shared" si="9"/>
        <v>0</v>
      </c>
      <c r="G39" s="40"/>
      <c r="H39" s="24"/>
      <c r="I39" s="40"/>
      <c r="J39" s="24"/>
      <c r="K39" s="4">
        <f t="shared" si="8"/>
        <v>0</v>
      </c>
    </row>
    <row r="40" spans="1:11" x14ac:dyDescent="0.35">
      <c r="A40" s="226"/>
      <c r="B40" s="44" t="s">
        <v>42</v>
      </c>
      <c r="C40" s="43" t="s">
        <v>9</v>
      </c>
      <c r="D40" s="12">
        <f>0.4*D35</f>
        <v>113.60000000000001</v>
      </c>
      <c r="E40" s="48"/>
      <c r="F40" s="24">
        <f t="shared" si="9"/>
        <v>0</v>
      </c>
      <c r="G40" s="40"/>
      <c r="H40" s="24"/>
      <c r="I40" s="40"/>
      <c r="J40" s="24"/>
      <c r="K40" s="4">
        <f t="shared" si="8"/>
        <v>0</v>
      </c>
    </row>
    <row r="41" spans="1:11" x14ac:dyDescent="0.35">
      <c r="A41" s="226"/>
      <c r="B41" s="44" t="s">
        <v>69</v>
      </c>
      <c r="C41" s="43" t="s">
        <v>19</v>
      </c>
      <c r="D41" s="12">
        <v>4</v>
      </c>
      <c r="E41" s="48"/>
      <c r="F41" s="24">
        <f t="shared" si="9"/>
        <v>0</v>
      </c>
      <c r="G41" s="40"/>
      <c r="H41" s="24"/>
      <c r="I41" s="40"/>
      <c r="J41" s="24"/>
      <c r="K41" s="4">
        <f t="shared" si="8"/>
        <v>0</v>
      </c>
    </row>
    <row r="42" spans="1:11" x14ac:dyDescent="0.35">
      <c r="A42" s="226"/>
      <c r="B42" s="44" t="s">
        <v>43</v>
      </c>
      <c r="C42" s="43" t="s">
        <v>9</v>
      </c>
      <c r="D42" s="12">
        <f>0.3*D35</f>
        <v>85.2</v>
      </c>
      <c r="E42" s="48"/>
      <c r="F42" s="24">
        <f t="shared" si="9"/>
        <v>0</v>
      </c>
      <c r="G42" s="40"/>
      <c r="H42" s="24"/>
      <c r="I42" s="40"/>
      <c r="J42" s="24"/>
      <c r="K42" s="4">
        <f t="shared" si="8"/>
        <v>0</v>
      </c>
    </row>
    <row r="43" spans="1:11" x14ac:dyDescent="0.35">
      <c r="A43" s="226"/>
      <c r="B43" s="44" t="s">
        <v>44</v>
      </c>
      <c r="C43" s="43" t="s">
        <v>10</v>
      </c>
      <c r="D43" s="12">
        <f>D35*0.03</f>
        <v>8.52</v>
      </c>
      <c r="E43" s="48"/>
      <c r="F43" s="24">
        <f t="shared" si="9"/>
        <v>0</v>
      </c>
      <c r="G43" s="12"/>
      <c r="H43" s="24"/>
      <c r="I43" s="12"/>
      <c r="J43" s="24"/>
      <c r="K43" s="4">
        <f t="shared" si="8"/>
        <v>0</v>
      </c>
    </row>
    <row r="44" spans="1:11" ht="40.5" x14ac:dyDescent="0.35">
      <c r="A44" s="225">
        <v>22</v>
      </c>
      <c r="B44" s="32" t="s">
        <v>361</v>
      </c>
      <c r="C44" s="33" t="s">
        <v>8</v>
      </c>
      <c r="D44" s="60">
        <v>86</v>
      </c>
      <c r="E44" s="21"/>
      <c r="F44" s="4"/>
      <c r="G44" s="21"/>
      <c r="H44" s="4">
        <f t="shared" ref="H44" si="10">G44*D44</f>
        <v>0</v>
      </c>
      <c r="I44" s="21"/>
      <c r="J44" s="4">
        <f t="shared" ref="J44" si="11">I44*D44</f>
        <v>0</v>
      </c>
      <c r="K44" s="4">
        <f t="shared" si="8"/>
        <v>0</v>
      </c>
    </row>
    <row r="45" spans="1:11" x14ac:dyDescent="0.35">
      <c r="A45" s="226"/>
      <c r="B45" s="44" t="s">
        <v>39</v>
      </c>
      <c r="C45" s="43" t="s">
        <v>11</v>
      </c>
      <c r="D45" s="12">
        <f>0.45*D44</f>
        <v>38.700000000000003</v>
      </c>
      <c r="E45" s="48"/>
      <c r="F45" s="24">
        <f t="shared" ref="F45:F50" si="12">E45*D45</f>
        <v>0</v>
      </c>
      <c r="G45" s="40"/>
      <c r="H45" s="24"/>
      <c r="I45" s="40"/>
      <c r="J45" s="24"/>
      <c r="K45" s="4">
        <f t="shared" si="8"/>
        <v>0</v>
      </c>
    </row>
    <row r="46" spans="1:11" x14ac:dyDescent="0.35">
      <c r="A46" s="226"/>
      <c r="B46" s="29" t="s">
        <v>213</v>
      </c>
      <c r="C46" s="43" t="s">
        <v>11</v>
      </c>
      <c r="D46" s="12">
        <f>0.4*D44</f>
        <v>34.4</v>
      </c>
      <c r="E46" s="48"/>
      <c r="F46" s="24">
        <f t="shared" si="12"/>
        <v>0</v>
      </c>
      <c r="G46" s="40"/>
      <c r="H46" s="24"/>
      <c r="I46" s="40"/>
      <c r="J46" s="24"/>
      <c r="K46" s="4">
        <f t="shared" si="8"/>
        <v>0</v>
      </c>
    </row>
    <row r="47" spans="1:11" x14ac:dyDescent="0.35">
      <c r="A47" s="226"/>
      <c r="B47" s="44" t="s">
        <v>40</v>
      </c>
      <c r="C47" s="43" t="s">
        <v>11</v>
      </c>
      <c r="D47" s="12">
        <f>0.15*D44</f>
        <v>12.9</v>
      </c>
      <c r="E47" s="48"/>
      <c r="F47" s="24">
        <f t="shared" si="12"/>
        <v>0</v>
      </c>
      <c r="G47" s="40"/>
      <c r="H47" s="24"/>
      <c r="I47" s="40"/>
      <c r="J47" s="24"/>
      <c r="K47" s="4">
        <f t="shared" si="8"/>
        <v>0</v>
      </c>
    </row>
    <row r="48" spans="1:11" x14ac:dyDescent="0.35">
      <c r="A48" s="226"/>
      <c r="B48" s="44" t="s">
        <v>41</v>
      </c>
      <c r="C48" s="43" t="s">
        <v>8</v>
      </c>
      <c r="D48" s="12">
        <f>0.009*D44</f>
        <v>0.77399999999999991</v>
      </c>
      <c r="E48" s="48"/>
      <c r="F48" s="24">
        <f t="shared" si="12"/>
        <v>0</v>
      </c>
      <c r="G48" s="40"/>
      <c r="H48" s="24"/>
      <c r="I48" s="40"/>
      <c r="J48" s="24"/>
      <c r="K48" s="4">
        <f t="shared" si="8"/>
        <v>0</v>
      </c>
    </row>
    <row r="49" spans="1:11" x14ac:dyDescent="0.35">
      <c r="A49" s="226"/>
      <c r="B49" s="44" t="s">
        <v>69</v>
      </c>
      <c r="C49" s="43" t="s">
        <v>19</v>
      </c>
      <c r="D49" s="12">
        <v>2</v>
      </c>
      <c r="E49" s="48"/>
      <c r="F49" s="24">
        <f t="shared" si="12"/>
        <v>0</v>
      </c>
      <c r="G49" s="40"/>
      <c r="H49" s="24"/>
      <c r="I49" s="40"/>
      <c r="J49" s="24"/>
      <c r="K49" s="4">
        <f t="shared" si="8"/>
        <v>0</v>
      </c>
    </row>
    <row r="50" spans="1:11" x14ac:dyDescent="0.35">
      <c r="A50" s="226"/>
      <c r="B50" s="44" t="s">
        <v>44</v>
      </c>
      <c r="C50" s="43" t="s">
        <v>10</v>
      </c>
      <c r="D50" s="12">
        <f>D44*0.03</f>
        <v>2.58</v>
      </c>
      <c r="E50" s="48"/>
      <c r="F50" s="24">
        <f t="shared" si="12"/>
        <v>0</v>
      </c>
      <c r="G50" s="12"/>
      <c r="H50" s="24"/>
      <c r="I50" s="12"/>
      <c r="J50" s="24"/>
      <c r="K50" s="4">
        <f t="shared" si="8"/>
        <v>0</v>
      </c>
    </row>
    <row r="51" spans="1:11" ht="27" x14ac:dyDescent="0.35">
      <c r="A51" s="182">
        <v>23</v>
      </c>
      <c r="B51" s="32" t="s">
        <v>360</v>
      </c>
      <c r="C51" s="33" t="s">
        <v>8</v>
      </c>
      <c r="D51" s="60">
        <f>7.31*2.67</f>
        <v>19.517699999999998</v>
      </c>
      <c r="E51" s="21"/>
      <c r="F51" s="24"/>
      <c r="G51" s="21"/>
      <c r="H51" s="4">
        <f t="shared" ref="H51" si="13">G51*D51</f>
        <v>0</v>
      </c>
      <c r="I51" s="21"/>
      <c r="J51" s="4">
        <f t="shared" ref="J51" si="14">I51*D51</f>
        <v>0</v>
      </c>
      <c r="K51" s="4">
        <f t="shared" si="8"/>
        <v>0</v>
      </c>
    </row>
    <row r="52" spans="1:11" x14ac:dyDescent="0.35">
      <c r="A52" s="183"/>
      <c r="B52" s="44" t="s">
        <v>39</v>
      </c>
      <c r="C52" s="43" t="s">
        <v>11</v>
      </c>
      <c r="D52" s="40">
        <f>0.45*D51</f>
        <v>8.782964999999999</v>
      </c>
      <c r="E52" s="48"/>
      <c r="F52" s="24">
        <f t="shared" ref="F52:F58" si="15">E52*D52</f>
        <v>0</v>
      </c>
      <c r="G52" s="40"/>
      <c r="H52" s="24"/>
      <c r="I52" s="40"/>
      <c r="J52" s="24"/>
      <c r="K52" s="4">
        <f t="shared" si="8"/>
        <v>0</v>
      </c>
    </row>
    <row r="53" spans="1:11" x14ac:dyDescent="0.35">
      <c r="A53" s="183"/>
      <c r="B53" s="29" t="s">
        <v>213</v>
      </c>
      <c r="C53" s="43" t="s">
        <v>11</v>
      </c>
      <c r="D53" s="12">
        <f>0.4*D51</f>
        <v>7.8070799999999991</v>
      </c>
      <c r="E53" s="48"/>
      <c r="F53" s="24">
        <f t="shared" si="15"/>
        <v>0</v>
      </c>
      <c r="G53" s="40"/>
      <c r="H53" s="24"/>
      <c r="I53" s="40"/>
      <c r="J53" s="24"/>
      <c r="K53" s="4">
        <f t="shared" si="8"/>
        <v>0</v>
      </c>
    </row>
    <row r="54" spans="1:11" x14ac:dyDescent="0.35">
      <c r="A54" s="183"/>
      <c r="B54" s="44" t="s">
        <v>40</v>
      </c>
      <c r="C54" s="43" t="s">
        <v>11</v>
      </c>
      <c r="D54" s="12">
        <f>0.15*D51</f>
        <v>2.9276549999999997</v>
      </c>
      <c r="E54" s="48"/>
      <c r="F54" s="24">
        <f t="shared" si="15"/>
        <v>0</v>
      </c>
      <c r="G54" s="40"/>
      <c r="H54" s="24"/>
      <c r="I54" s="40"/>
      <c r="J54" s="24"/>
      <c r="K54" s="4">
        <f t="shared" si="8"/>
        <v>0</v>
      </c>
    </row>
    <row r="55" spans="1:11" x14ac:dyDescent="0.35">
      <c r="A55" s="183"/>
      <c r="B55" s="44" t="s">
        <v>41</v>
      </c>
      <c r="C55" s="43" t="s">
        <v>8</v>
      </c>
      <c r="D55" s="12">
        <f>0.009*D51</f>
        <v>0.17565929999999996</v>
      </c>
      <c r="E55" s="48"/>
      <c r="F55" s="24">
        <f t="shared" si="15"/>
        <v>0</v>
      </c>
      <c r="G55" s="40"/>
      <c r="H55" s="24"/>
      <c r="I55" s="40"/>
      <c r="J55" s="24"/>
      <c r="K55" s="4">
        <f t="shared" si="8"/>
        <v>0</v>
      </c>
    </row>
    <row r="56" spans="1:11" x14ac:dyDescent="0.35">
      <c r="A56" s="183"/>
      <c r="B56" s="44" t="s">
        <v>42</v>
      </c>
      <c r="C56" s="43" t="s">
        <v>9</v>
      </c>
      <c r="D56" s="12">
        <f>0.4*D51</f>
        <v>7.8070799999999991</v>
      </c>
      <c r="E56" s="48"/>
      <c r="F56" s="24">
        <f t="shared" si="15"/>
        <v>0</v>
      </c>
      <c r="G56" s="40"/>
      <c r="H56" s="24"/>
      <c r="I56" s="40"/>
      <c r="J56" s="24"/>
      <c r="K56" s="4">
        <f t="shared" si="8"/>
        <v>0</v>
      </c>
    </row>
    <row r="57" spans="1:11" x14ac:dyDescent="0.35">
      <c r="A57" s="80"/>
      <c r="B57" s="44" t="s">
        <v>69</v>
      </c>
      <c r="C57" s="43" t="s">
        <v>19</v>
      </c>
      <c r="D57" s="12">
        <v>1</v>
      </c>
      <c r="E57" s="48"/>
      <c r="F57" s="24">
        <f t="shared" si="15"/>
        <v>0</v>
      </c>
      <c r="G57" s="40"/>
      <c r="H57" s="24"/>
      <c r="I57" s="40"/>
      <c r="J57" s="24"/>
      <c r="K57" s="4">
        <f t="shared" si="8"/>
        <v>0</v>
      </c>
    </row>
    <row r="58" spans="1:11" x14ac:dyDescent="0.35">
      <c r="A58" s="81"/>
      <c r="B58" s="44" t="s">
        <v>44</v>
      </c>
      <c r="C58" s="43" t="s">
        <v>10</v>
      </c>
      <c r="D58" s="12">
        <f>D51*0.03</f>
        <v>0.58553099999999991</v>
      </c>
      <c r="E58" s="48"/>
      <c r="F58" s="24">
        <f t="shared" si="15"/>
        <v>0</v>
      </c>
      <c r="G58" s="12"/>
      <c r="H58" s="24"/>
      <c r="I58" s="12"/>
      <c r="J58" s="24"/>
      <c r="K58" s="4">
        <f t="shared" si="8"/>
        <v>0</v>
      </c>
    </row>
    <row r="59" spans="1:11" x14ac:dyDescent="0.35">
      <c r="A59" s="8"/>
      <c r="B59" s="9" t="s">
        <v>6</v>
      </c>
      <c r="C59" s="9"/>
      <c r="D59" s="9"/>
      <c r="E59" s="9"/>
      <c r="F59" s="27">
        <f>SUM(F10:F58)</f>
        <v>0</v>
      </c>
      <c r="G59" s="27"/>
      <c r="H59" s="27">
        <f>SUM(H10:H58)</f>
        <v>0</v>
      </c>
      <c r="I59" s="27"/>
      <c r="J59" s="27">
        <f>SUM(J10:J58)</f>
        <v>0</v>
      </c>
      <c r="K59" s="27">
        <f>SUM(K10:K58)</f>
        <v>0</v>
      </c>
    </row>
    <row r="60" spans="1:11" x14ac:dyDescent="0.35">
      <c r="A60" s="5"/>
      <c r="B60" s="10" t="s">
        <v>12</v>
      </c>
      <c r="C60" s="19" t="s">
        <v>371</v>
      </c>
      <c r="D60" s="12"/>
      <c r="E60" s="11"/>
      <c r="F60" s="12"/>
      <c r="G60" s="12"/>
      <c r="H60" s="12"/>
      <c r="I60" s="12"/>
      <c r="J60" s="11"/>
      <c r="K60" s="26" t="e">
        <f>F59*C60</f>
        <v>#VALUE!</v>
      </c>
    </row>
    <row r="61" spans="1:11" x14ac:dyDescent="0.35">
      <c r="A61" s="5"/>
      <c r="B61" s="13" t="s">
        <v>6</v>
      </c>
      <c r="C61" s="18"/>
      <c r="D61" s="12"/>
      <c r="E61" s="11"/>
      <c r="F61" s="11"/>
      <c r="G61" s="12"/>
      <c r="H61" s="12"/>
      <c r="I61" s="12"/>
      <c r="J61" s="11"/>
      <c r="K61" s="26" t="e">
        <f>K60+K59</f>
        <v>#VALUE!</v>
      </c>
    </row>
    <row r="62" spans="1:11" x14ac:dyDescent="0.35">
      <c r="A62" s="5"/>
      <c r="B62" s="10" t="s">
        <v>13</v>
      </c>
      <c r="C62" s="19" t="s">
        <v>371</v>
      </c>
      <c r="D62" s="12"/>
      <c r="E62" s="11"/>
      <c r="F62" s="11"/>
      <c r="G62" s="12"/>
      <c r="H62" s="12"/>
      <c r="I62" s="12"/>
      <c r="J62" s="11"/>
      <c r="K62" s="26" t="e">
        <f>K61*C62</f>
        <v>#VALUE!</v>
      </c>
    </row>
    <row r="63" spans="1:11" x14ac:dyDescent="0.35">
      <c r="A63" s="5"/>
      <c r="B63" s="13" t="s">
        <v>6</v>
      </c>
      <c r="C63" s="18"/>
      <c r="D63" s="12"/>
      <c r="E63" s="11"/>
      <c r="F63" s="11"/>
      <c r="G63" s="12"/>
      <c r="H63" s="12"/>
      <c r="I63" s="12"/>
      <c r="J63" s="11"/>
      <c r="K63" s="26" t="e">
        <f>SUM(K61:K62)</f>
        <v>#VALUE!</v>
      </c>
    </row>
    <row r="64" spans="1:11" x14ac:dyDescent="0.35">
      <c r="A64" s="5"/>
      <c r="B64" s="10" t="s">
        <v>14</v>
      </c>
      <c r="C64" s="19" t="s">
        <v>371</v>
      </c>
      <c r="D64" s="12"/>
      <c r="E64" s="11"/>
      <c r="F64" s="11"/>
      <c r="G64" s="12"/>
      <c r="H64" s="12"/>
      <c r="I64" s="12"/>
      <c r="J64" s="11"/>
      <c r="K64" s="26" t="e">
        <f>K63*C64</f>
        <v>#VALUE!</v>
      </c>
    </row>
    <row r="65" spans="1:11" x14ac:dyDescent="0.35">
      <c r="A65" s="5"/>
      <c r="B65" s="13" t="s">
        <v>6</v>
      </c>
      <c r="C65" s="18"/>
      <c r="D65" s="12"/>
      <c r="E65" s="11"/>
      <c r="F65" s="11"/>
      <c r="G65" s="12"/>
      <c r="H65" s="12"/>
      <c r="I65" s="12"/>
      <c r="J65" s="11"/>
      <c r="K65" s="26" t="e">
        <f>SUM(K63:K64)</f>
        <v>#VALUE!</v>
      </c>
    </row>
    <row r="66" spans="1:11" x14ac:dyDescent="0.35">
      <c r="A66" s="5"/>
      <c r="B66" s="10" t="s">
        <v>17</v>
      </c>
      <c r="C66" s="19" t="s">
        <v>371</v>
      </c>
      <c r="D66" s="12"/>
      <c r="E66" s="11"/>
      <c r="F66" s="11"/>
      <c r="G66" s="12"/>
      <c r="H66" s="12"/>
      <c r="I66" s="12"/>
      <c r="J66" s="11"/>
      <c r="K66" s="26" t="e">
        <f>K65*C66</f>
        <v>#VALUE!</v>
      </c>
    </row>
    <row r="67" spans="1:11" x14ac:dyDescent="0.35">
      <c r="A67" s="5"/>
      <c r="B67" s="10" t="s">
        <v>20</v>
      </c>
      <c r="C67" s="19" t="s">
        <v>371</v>
      </c>
      <c r="D67" s="12"/>
      <c r="E67" s="11"/>
      <c r="F67" s="11"/>
      <c r="G67" s="12"/>
      <c r="H67" s="12"/>
      <c r="I67" s="12"/>
      <c r="J67" s="11"/>
      <c r="K67" s="26" t="e">
        <f>H59*C67</f>
        <v>#VALUE!</v>
      </c>
    </row>
    <row r="68" spans="1:11" x14ac:dyDescent="0.35">
      <c r="A68" s="5"/>
      <c r="B68" s="13" t="s">
        <v>6</v>
      </c>
      <c r="C68" s="18"/>
      <c r="D68" s="12"/>
      <c r="E68" s="11"/>
      <c r="F68" s="11"/>
      <c r="G68" s="12"/>
      <c r="H68" s="12"/>
      <c r="I68" s="12"/>
      <c r="J68" s="11"/>
      <c r="K68" s="26" t="e">
        <f>K67+K66+K65</f>
        <v>#VALUE!</v>
      </c>
    </row>
    <row r="69" spans="1:11" x14ac:dyDescent="0.35">
      <c r="A69" s="5"/>
      <c r="B69" s="6" t="s">
        <v>15</v>
      </c>
      <c r="C69" s="19">
        <v>0.18</v>
      </c>
      <c r="D69" s="12"/>
      <c r="E69" s="11"/>
      <c r="F69" s="11"/>
      <c r="G69" s="11"/>
      <c r="H69" s="11"/>
      <c r="I69" s="11"/>
      <c r="J69" s="11"/>
      <c r="K69" s="26" t="e">
        <f>K68*C69</f>
        <v>#VALUE!</v>
      </c>
    </row>
    <row r="70" spans="1:11" x14ac:dyDescent="0.35">
      <c r="A70" s="5"/>
      <c r="B70" s="9" t="s">
        <v>16</v>
      </c>
      <c r="C70" s="2"/>
      <c r="D70" s="5"/>
      <c r="E70" s="5"/>
      <c r="F70" s="5"/>
      <c r="G70" s="5"/>
      <c r="H70" s="5"/>
      <c r="I70" s="5"/>
      <c r="J70" s="5"/>
      <c r="K70" s="20" t="e">
        <f>K69+K68</f>
        <v>#VALUE!</v>
      </c>
    </row>
  </sheetData>
  <mergeCells count="22">
    <mergeCell ref="A44:A50"/>
    <mergeCell ref="A51:A56"/>
    <mergeCell ref="A6:A7"/>
    <mergeCell ref="A10:A18"/>
    <mergeCell ref="A19:A25"/>
    <mergeCell ref="A26:A31"/>
    <mergeCell ref="A35:A43"/>
    <mergeCell ref="B1:I1"/>
    <mergeCell ref="I6:J6"/>
    <mergeCell ref="J1:K1"/>
    <mergeCell ref="B3:K3"/>
    <mergeCell ref="F5:H5"/>
    <mergeCell ref="I5:J5"/>
    <mergeCell ref="K6:K7"/>
    <mergeCell ref="B6:B7"/>
    <mergeCell ref="C6:C7"/>
    <mergeCell ref="D6:D7"/>
    <mergeCell ref="E6:F6"/>
    <mergeCell ref="G6:H6"/>
    <mergeCell ref="A5:E5"/>
    <mergeCell ref="A4:K4"/>
    <mergeCell ref="B2:K2"/>
  </mergeCells>
  <pageMargins left="0.45" right="0.45" top="0.5" bottom="0.5" header="0.3" footer="0.3"/>
  <pageSetup scale="82" orientation="landscape" horizontalDpi="0" verticalDpi="0" r:id="rId1"/>
  <ignoredErrors>
    <ignoredError sqref="K63:K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I სართული</vt:lpstr>
      <vt:lpstr>ცენტრ. კიბის უჯრედი</vt:lpstr>
      <vt:lpstr>III-IVსართული.</vt:lpstr>
      <vt:lpstr>Vსართული</vt:lpstr>
      <vt:lpstr>საევ.კიბის უჯრედები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2022-09-20T08:29:20Z</dcterms:modified>
</cp:coreProperties>
</file>